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0440" tabRatio="802" activeTab="7"/>
  </bookViews>
  <sheets>
    <sheet name="1. Coleta Domiciliar" sheetId="2" r:id="rId1"/>
    <sheet name="2. Coleta Seletiva" sheetId="16" r:id="rId2"/>
    <sheet name="Resumo" sheetId="19" r:id="rId3"/>
    <sheet name="3.Encargos Sociais" sheetId="8" r:id="rId4"/>
    <sheet name="4.CAGED" sheetId="5" r:id="rId5"/>
    <sheet name="5.BDI" sheetId="4" r:id="rId6"/>
    <sheet name="Ton" sheetId="10" r:id="rId7"/>
    <sheet name="Horários" sheetId="11" r:id="rId8"/>
    <sheet name="Roteiros " sheetId="20" r:id="rId9"/>
    <sheet name="6. Depreciação" sheetId="6" r:id="rId10"/>
    <sheet name="7.Remuneração de capital" sheetId="7" r:id="rId11"/>
    <sheet name="8. Dimensionamento" sheetId="9" r:id="rId12"/>
  </sheets>
  <definedNames>
    <definedName name="AbaDeprec">'6. Depreciação'!$A$1</definedName>
    <definedName name="AbaRemun" localSheetId="7">#REF!</definedName>
    <definedName name="AbaRemun" localSheetId="2">#REF!</definedName>
    <definedName name="AbaRemun" localSheetId="6">#REF!</definedName>
    <definedName name="AbaRemun">'7.Remuneração de capital'!$A$1</definedName>
    <definedName name="_xlnm.Print_Area" localSheetId="0">'1. Coleta Domiciliar'!$A$1:$F$306</definedName>
    <definedName name="_xlnm.Print_Area" localSheetId="1">'2. Coleta Seletiva'!$A$1:$F$305</definedName>
    <definedName name="_xlnm.Print_Area" localSheetId="3">'3.Encargos Sociais'!$A$1:$C$40</definedName>
    <definedName name="_xlnm.Print_Titles" localSheetId="0">'1. Coleta Domiciliar'!$1:$8</definedName>
    <definedName name="_xlnm.Print_Titles" localSheetId="1">'2. Coleta Seletiva'!$1:$8</definedName>
  </definedNames>
  <calcPr calcId="181029" calcMode="manual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1" l="1"/>
  <c r="I17" i="11"/>
  <c r="K17" i="11" s="1"/>
  <c r="K19" i="11" s="1"/>
  <c r="I9" i="11" l="1"/>
  <c r="J9" i="11"/>
  <c r="K9" i="11" l="1"/>
  <c r="K11" i="11" s="1"/>
  <c r="D79" i="20"/>
  <c r="D75" i="20"/>
  <c r="D81" i="20" s="1"/>
  <c r="D86" i="20" s="1"/>
  <c r="E268" i="16" l="1"/>
  <c r="D239" i="16"/>
  <c r="D237" i="16"/>
  <c r="C130" i="16"/>
  <c r="E123" i="16"/>
  <c r="C20" i="10"/>
  <c r="C22" i="10" s="1"/>
  <c r="C26" i="10" s="1"/>
  <c r="D240" i="2"/>
  <c r="A136" i="2"/>
  <c r="A143" i="2" s="1"/>
  <c r="C130" i="2"/>
  <c r="E123" i="2"/>
  <c r="D47" i="20"/>
  <c r="D21" i="20"/>
  <c r="D43" i="20"/>
  <c r="D17" i="20"/>
  <c r="D23" i="20" l="1"/>
  <c r="D53" i="20" s="1"/>
  <c r="D48" i="20"/>
  <c r="D88" i="20" s="1"/>
  <c r="D89" i="20" s="1"/>
  <c r="D90" i="20" s="1"/>
  <c r="D55" i="20"/>
  <c r="D56" i="20" s="1"/>
  <c r="D57" i="20" s="1"/>
  <c r="B19" i="19"/>
  <c r="C9" i="19"/>
  <c r="E8" i="19"/>
  <c r="E6" i="19"/>
  <c r="E5" i="19"/>
  <c r="E4" i="19"/>
  <c r="E9" i="19" l="1"/>
  <c r="C256" i="16" l="1"/>
  <c r="E137" i="2"/>
  <c r="C277" i="16"/>
  <c r="C279" i="16" s="1"/>
  <c r="E279" i="16" s="1"/>
  <c r="D280" i="16" s="1"/>
  <c r="E280" i="16" s="1"/>
  <c r="E269" i="16"/>
  <c r="E267" i="16"/>
  <c r="E266" i="16"/>
  <c r="E265" i="16"/>
  <c r="F270" i="16" s="1"/>
  <c r="F272" i="16" s="1"/>
  <c r="E34" i="16" s="1"/>
  <c r="C254" i="16"/>
  <c r="E254" i="16" s="1"/>
  <c r="E252" i="16"/>
  <c r="D241" i="16"/>
  <c r="D235" i="16"/>
  <c r="D233" i="16"/>
  <c r="D231" i="16"/>
  <c r="C221" i="16"/>
  <c r="E221" i="16" s="1"/>
  <c r="C220" i="16"/>
  <c r="E220" i="16" s="1"/>
  <c r="C219" i="16"/>
  <c r="C214" i="16"/>
  <c r="C209" i="16"/>
  <c r="E203" i="16"/>
  <c r="C196" i="16"/>
  <c r="C195" i="16"/>
  <c r="C192" i="16"/>
  <c r="C208" i="16" s="1"/>
  <c r="E208" i="16" s="1"/>
  <c r="C191" i="16"/>
  <c r="C190" i="16"/>
  <c r="E187" i="16"/>
  <c r="D175" i="16"/>
  <c r="E175" i="16" s="1"/>
  <c r="D174" i="16"/>
  <c r="C174" i="16"/>
  <c r="D173" i="16"/>
  <c r="E173" i="16" s="1"/>
  <c r="C173" i="16"/>
  <c r="D172" i="16"/>
  <c r="C172" i="16"/>
  <c r="D171" i="16"/>
  <c r="E171" i="16" s="1"/>
  <c r="C171" i="16"/>
  <c r="D170" i="16"/>
  <c r="C170" i="16"/>
  <c r="D169" i="16"/>
  <c r="E169" i="16" s="1"/>
  <c r="C169" i="16"/>
  <c r="E162" i="16"/>
  <c r="E161" i="16"/>
  <c r="E160" i="16"/>
  <c r="E159" i="16"/>
  <c r="E158" i="16"/>
  <c r="E157" i="16"/>
  <c r="E156" i="16"/>
  <c r="E155" i="16"/>
  <c r="E154" i="16"/>
  <c r="E153" i="16"/>
  <c r="E152" i="16"/>
  <c r="A136" i="16"/>
  <c r="A142" i="16" s="1"/>
  <c r="A135" i="16"/>
  <c r="A141" i="16" s="1"/>
  <c r="C129" i="16"/>
  <c r="D118" i="16"/>
  <c r="C118" i="16"/>
  <c r="C115" i="16"/>
  <c r="C112" i="16"/>
  <c r="C109" i="16"/>
  <c r="D107" i="16"/>
  <c r="D115" i="16"/>
  <c r="E93" i="16"/>
  <c r="D93" i="16"/>
  <c r="D92" i="16"/>
  <c r="E92" i="16" s="1"/>
  <c r="D94" i="16" s="1"/>
  <c r="E94" i="16" s="1"/>
  <c r="E90" i="16"/>
  <c r="D130" i="16" s="1"/>
  <c r="C81" i="16"/>
  <c r="D79" i="16"/>
  <c r="C79" i="16"/>
  <c r="E79" i="16" s="1"/>
  <c r="C76" i="16"/>
  <c r="D73" i="16"/>
  <c r="E73" i="16" s="1"/>
  <c r="C73" i="16"/>
  <c r="E71" i="16"/>
  <c r="D71" i="16"/>
  <c r="D77" i="16" s="1"/>
  <c r="E77" i="16" s="1"/>
  <c r="D60" i="16"/>
  <c r="E60" i="16" s="1"/>
  <c r="D59" i="16"/>
  <c r="E59" i="16" s="1"/>
  <c r="E58" i="16"/>
  <c r="D129" i="16" s="1"/>
  <c r="E49" i="16"/>
  <c r="A49" i="16"/>
  <c r="E45" i="16"/>
  <c r="A45" i="16"/>
  <c r="E44" i="16"/>
  <c r="A44" i="16"/>
  <c r="E43" i="16"/>
  <c r="A43" i="16"/>
  <c r="E42" i="16"/>
  <c r="A42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C163" i="16" l="1"/>
  <c r="C142" i="16"/>
  <c r="E142" i="16" s="1"/>
  <c r="C136" i="16"/>
  <c r="D74" i="16"/>
  <c r="E74" i="16" s="1"/>
  <c r="D242" i="16"/>
  <c r="E174" i="16"/>
  <c r="E172" i="16"/>
  <c r="E170" i="16"/>
  <c r="D163" i="16"/>
  <c r="E163" i="16" s="1"/>
  <c r="D255" i="16"/>
  <c r="E255" i="16" s="1"/>
  <c r="D256" i="16" s="1"/>
  <c r="E256" i="16" s="1"/>
  <c r="F257" i="16" s="1"/>
  <c r="E33" i="16" s="1"/>
  <c r="E118" i="16"/>
  <c r="D61" i="16"/>
  <c r="E61" i="16" s="1"/>
  <c r="D62" i="16" s="1"/>
  <c r="E62" i="16" s="1"/>
  <c r="E115" i="16"/>
  <c r="E129" i="16"/>
  <c r="E130" i="16"/>
  <c r="D176" i="16"/>
  <c r="E46" i="16"/>
  <c r="D76" i="16"/>
  <c r="E76" i="16" s="1"/>
  <c r="D96" i="16"/>
  <c r="E96" i="16" s="1"/>
  <c r="E97" i="16" s="1"/>
  <c r="E106" i="16"/>
  <c r="D112" i="16"/>
  <c r="E112" i="16" s="1"/>
  <c r="D113" i="16"/>
  <c r="E113" i="16" s="1"/>
  <c r="E136" i="16"/>
  <c r="C141" i="16"/>
  <c r="E141" i="16" s="1"/>
  <c r="C176" i="16"/>
  <c r="D190" i="16"/>
  <c r="E190" i="16" s="1"/>
  <c r="D191" i="16" s="1"/>
  <c r="E191" i="16" s="1"/>
  <c r="E192" i="16"/>
  <c r="C205" i="16"/>
  <c r="D219" i="16" s="1"/>
  <c r="E219" i="16" s="1"/>
  <c r="D222" i="16" s="1"/>
  <c r="E222" i="16" s="1"/>
  <c r="C231" i="16"/>
  <c r="C237" i="16" s="1"/>
  <c r="E237" i="16" s="1"/>
  <c r="E277" i="16"/>
  <c r="D278" i="16" s="1"/>
  <c r="E278" i="16" s="1"/>
  <c r="D109" i="16"/>
  <c r="E109" i="16" s="1"/>
  <c r="D110" i="16"/>
  <c r="E110" i="16" s="1"/>
  <c r="C135" i="16"/>
  <c r="E135" i="16" s="1"/>
  <c r="E176" i="16" l="1"/>
  <c r="F137" i="16"/>
  <c r="E23" i="16" s="1"/>
  <c r="D98" i="16"/>
  <c r="D80" i="16"/>
  <c r="E80" i="16" s="1"/>
  <c r="C247" i="16"/>
  <c r="E247" i="16" s="1"/>
  <c r="F248" i="16" s="1"/>
  <c r="E32" i="16" s="1"/>
  <c r="C233" i="16"/>
  <c r="C241" i="16"/>
  <c r="E241" i="16" s="1"/>
  <c r="C235" i="16"/>
  <c r="E235" i="16" s="1"/>
  <c r="E231" i="16"/>
  <c r="D116" i="16"/>
  <c r="E116" i="16" s="1"/>
  <c r="F131" i="16"/>
  <c r="E22" i="16" s="1"/>
  <c r="E63" i="16"/>
  <c r="C210" i="16"/>
  <c r="D195" i="16"/>
  <c r="E195" i="16" s="1"/>
  <c r="D196" i="16" s="1"/>
  <c r="E196" i="16" s="1"/>
  <c r="E197" i="16" s="1"/>
  <c r="D198" i="16" s="1"/>
  <c r="E198" i="16" s="1"/>
  <c r="C206" i="16"/>
  <c r="D207" i="16" s="1"/>
  <c r="E207" i="16" s="1"/>
  <c r="E119" i="16"/>
  <c r="E233" i="16" l="1"/>
  <c r="C239" i="16"/>
  <c r="E239" i="16" s="1"/>
  <c r="C211" i="16"/>
  <c r="D212" i="16" s="1"/>
  <c r="E212" i="16" s="1"/>
  <c r="E213" i="16" s="1"/>
  <c r="D214" i="16" s="1"/>
  <c r="E214" i="16" s="1"/>
  <c r="D120" i="16"/>
  <c r="D64" i="16"/>
  <c r="D81" i="16"/>
  <c r="E81" i="16" s="1"/>
  <c r="E82" i="16" s="1"/>
  <c r="F243" i="16" l="1"/>
  <c r="E31" i="16" s="1"/>
  <c r="D83" i="16"/>
  <c r="F56" i="11" l="1"/>
  <c r="F59" i="11" s="1"/>
  <c r="F61" i="11" s="1"/>
  <c r="F44" i="11"/>
  <c r="F47" i="11" s="1"/>
  <c r="F49" i="11" s="1"/>
  <c r="F51" i="11" l="1"/>
  <c r="B52" i="16"/>
  <c r="F63" i="11"/>
  <c r="E101" i="16"/>
  <c r="C232" i="2"/>
  <c r="E177" i="16" l="1"/>
  <c r="F177" i="16" s="1"/>
  <c r="E199" i="16"/>
  <c r="E143" i="16"/>
  <c r="F143" i="16" s="1"/>
  <c r="E67" i="16"/>
  <c r="E164" i="16"/>
  <c r="F164" i="16" s="1"/>
  <c r="F179" i="16" s="1"/>
  <c r="E25" i="16" s="1"/>
  <c r="E86" i="16"/>
  <c r="E24" i="16" l="1"/>
  <c r="E215" i="16"/>
  <c r="F199" i="16"/>
  <c r="E223" i="16" l="1"/>
  <c r="F215" i="16"/>
  <c r="E29" i="16" s="1"/>
  <c r="E28" i="16"/>
  <c r="E281" i="16" l="1"/>
  <c r="F281" i="16" s="1"/>
  <c r="F283" i="16" s="1"/>
  <c r="E35" i="16" s="1"/>
  <c r="F223" i="16"/>
  <c r="D176" i="2"/>
  <c r="C175" i="2"/>
  <c r="C174" i="2"/>
  <c r="C173" i="2"/>
  <c r="C172" i="2"/>
  <c r="C171" i="2"/>
  <c r="C170" i="2"/>
  <c r="E30" i="16" l="1"/>
  <c r="F260" i="16"/>
  <c r="E26" i="16" l="1"/>
  <c r="E27" i="16"/>
  <c r="F32" i="11" l="1"/>
  <c r="F35" i="11" s="1"/>
  <c r="F37" i="11" s="1"/>
  <c r="F20" i="11"/>
  <c r="F23" i="11" s="1"/>
  <c r="F39" i="11" l="1"/>
  <c r="E101" i="2"/>
  <c r="F25" i="11"/>
  <c r="F27" i="11" s="1"/>
  <c r="B52" i="2" l="1"/>
  <c r="E165" i="2" s="1"/>
  <c r="E200" i="2"/>
  <c r="E216" i="2" s="1"/>
  <c r="E224" i="2" s="1"/>
  <c r="E282" i="2" s="1"/>
  <c r="E144" i="2"/>
  <c r="E178" i="2"/>
  <c r="C22" i="9" l="1"/>
  <c r="C27" i="5" l="1"/>
  <c r="C221" i="2" l="1"/>
  <c r="C220" i="2"/>
  <c r="C222" i="2"/>
  <c r="A36" i="2" l="1"/>
  <c r="A35" i="2"/>
  <c r="A34" i="2"/>
  <c r="A26" i="2"/>
  <c r="A25" i="2"/>
  <c r="A17" i="2"/>
  <c r="C15" i="9" l="1"/>
  <c r="C16" i="9" l="1"/>
  <c r="C18" i="9"/>
  <c r="C23" i="9" s="1"/>
  <c r="C25" i="9" s="1"/>
  <c r="C191" i="2"/>
  <c r="C196" i="2"/>
  <c r="E45" i="2" l="1"/>
  <c r="E44" i="2"/>
  <c r="C136" i="2" s="1"/>
  <c r="E136" i="2" s="1"/>
  <c r="E43" i="2"/>
  <c r="E42" i="2"/>
  <c r="E49" i="2"/>
  <c r="C215" i="2" l="1"/>
  <c r="C210" i="2"/>
  <c r="D242" i="2"/>
  <c r="D238" i="2"/>
  <c r="D236" i="2"/>
  <c r="D234" i="2"/>
  <c r="D170" i="2" l="1"/>
  <c r="E170" i="2" s="1"/>
  <c r="E154" i="2"/>
  <c r="E155" i="2"/>
  <c r="E156" i="2"/>
  <c r="E157" i="2"/>
  <c r="E158" i="2"/>
  <c r="E159" i="2"/>
  <c r="E160" i="2"/>
  <c r="E161" i="2"/>
  <c r="E162" i="2"/>
  <c r="E153" i="2"/>
  <c r="D60" i="2" l="1"/>
  <c r="E60" i="2" s="1"/>
  <c r="D59" i="2"/>
  <c r="E59" i="2" s="1"/>
  <c r="D92" i="2"/>
  <c r="E92" i="2" s="1"/>
  <c r="C112" i="2"/>
  <c r="D61" i="2" l="1"/>
  <c r="E61" i="2" s="1"/>
  <c r="C115" i="2"/>
  <c r="D93" i="2"/>
  <c r="E93" i="2" s="1"/>
  <c r="D94" i="2" s="1"/>
  <c r="E94" i="2" s="1"/>
  <c r="C79" i="2"/>
  <c r="C76" i="2"/>
  <c r="C257" i="2" l="1"/>
  <c r="D107" i="2"/>
  <c r="A33" i="2"/>
  <c r="A32" i="2"/>
  <c r="A31" i="2"/>
  <c r="A30" i="2"/>
  <c r="A29" i="2"/>
  <c r="A28" i="2"/>
  <c r="A27" i="2"/>
  <c r="A24" i="2"/>
  <c r="A23" i="2"/>
  <c r="A22" i="2"/>
  <c r="A21" i="2"/>
  <c r="A20" i="2"/>
  <c r="A19" i="2"/>
  <c r="A18" i="2"/>
  <c r="C21" i="8"/>
  <c r="E86" i="2"/>
  <c r="E67" i="2"/>
  <c r="C16" i="4"/>
  <c r="C21" i="4" s="1"/>
  <c r="F14" i="4"/>
  <c r="E14" i="4"/>
  <c r="D14" i="4"/>
  <c r="C18" i="8"/>
  <c r="C29" i="5"/>
  <c r="C118" i="2"/>
  <c r="C109" i="2"/>
  <c r="D112" i="2"/>
  <c r="E112" i="2" s="1"/>
  <c r="E90" i="2"/>
  <c r="D130" i="2" s="1"/>
  <c r="C255" i="2"/>
  <c r="E255" i="2" s="1"/>
  <c r="C234" i="2"/>
  <c r="D232" i="2"/>
  <c r="D243" i="2" s="1"/>
  <c r="E188" i="2"/>
  <c r="D209" i="2"/>
  <c r="C197" i="2"/>
  <c r="C192" i="2"/>
  <c r="C73" i="2"/>
  <c r="D71" i="2"/>
  <c r="C278" i="2"/>
  <c r="C280" i="2" s="1"/>
  <c r="E280" i="2" s="1"/>
  <c r="D281" i="2" s="1"/>
  <c r="E281" i="2" s="1"/>
  <c r="C193" i="2"/>
  <c r="C209" i="2" s="1"/>
  <c r="C129" i="2"/>
  <c r="A42" i="2"/>
  <c r="A43" i="2"/>
  <c r="A44" i="2"/>
  <c r="A45" i="2"/>
  <c r="A49" i="2"/>
  <c r="E58" i="2"/>
  <c r="D129" i="2" s="1"/>
  <c r="C81" i="2"/>
  <c r="A135" i="2"/>
  <c r="A142" i="2" s="1"/>
  <c r="E163" i="2"/>
  <c r="D171" i="2"/>
  <c r="E171" i="2" s="1"/>
  <c r="D172" i="2"/>
  <c r="E172" i="2" s="1"/>
  <c r="D173" i="2"/>
  <c r="E173" i="2" s="1"/>
  <c r="D174" i="2"/>
  <c r="E174" i="2" s="1"/>
  <c r="D175" i="2"/>
  <c r="E175" i="2" s="1"/>
  <c r="E176" i="2"/>
  <c r="E253" i="2"/>
  <c r="E222" i="2"/>
  <c r="E221" i="2"/>
  <c r="E266" i="2"/>
  <c r="E269" i="2"/>
  <c r="E270" i="2"/>
  <c r="E267" i="2"/>
  <c r="E268" i="2"/>
  <c r="D96" i="2"/>
  <c r="E96" i="2" s="1"/>
  <c r="E234" i="2" l="1"/>
  <c r="C240" i="2"/>
  <c r="E240" i="2" s="1"/>
  <c r="C290" i="16"/>
  <c r="C291" i="2"/>
  <c r="C31" i="5"/>
  <c r="C32" i="5" s="1"/>
  <c r="C30" i="5"/>
  <c r="C32" i="8" s="1"/>
  <c r="D191" i="2"/>
  <c r="D79" i="2"/>
  <c r="E79" i="2" s="1"/>
  <c r="D74" i="2"/>
  <c r="E74" i="2" s="1"/>
  <c r="E106" i="2"/>
  <c r="D110" i="2"/>
  <c r="E110" i="2" s="1"/>
  <c r="D113" i="2"/>
  <c r="E113" i="2" s="1"/>
  <c r="D115" i="2"/>
  <c r="E115" i="2" s="1"/>
  <c r="D109" i="2"/>
  <c r="E109" i="2" s="1"/>
  <c r="D77" i="2"/>
  <c r="E77" i="2" s="1"/>
  <c r="D76" i="2"/>
  <c r="E76" i="2" s="1"/>
  <c r="C238" i="2"/>
  <c r="E238" i="2" s="1"/>
  <c r="D73" i="2"/>
  <c r="E73" i="2" s="1"/>
  <c r="C242" i="2"/>
  <c r="E242" i="2" s="1"/>
  <c r="F271" i="2"/>
  <c r="F273" i="2" s="1"/>
  <c r="E34" i="2" s="1"/>
  <c r="E232" i="2"/>
  <c r="E71" i="2"/>
  <c r="E193" i="2"/>
  <c r="C211" i="2" s="1"/>
  <c r="D164" i="2"/>
  <c r="C135" i="2"/>
  <c r="E135" i="2" s="1"/>
  <c r="F138" i="2" s="1"/>
  <c r="C164" i="2"/>
  <c r="E46" i="2"/>
  <c r="C142" i="2"/>
  <c r="E142" i="2" s="1"/>
  <c r="E129" i="2"/>
  <c r="E209" i="2"/>
  <c r="E143" i="2"/>
  <c r="D62" i="2"/>
  <c r="E62" i="2" s="1"/>
  <c r="E63" i="2" s="1"/>
  <c r="D64" i="2" s="1"/>
  <c r="C177" i="2"/>
  <c r="C236" i="2"/>
  <c r="E236" i="2" s="1"/>
  <c r="C248" i="2"/>
  <c r="E248" i="2" s="1"/>
  <c r="F249" i="2" s="1"/>
  <c r="E32" i="2" s="1"/>
  <c r="E278" i="2"/>
  <c r="D279" i="2" s="1"/>
  <c r="E279" i="2" s="1"/>
  <c r="F282" i="2" s="1"/>
  <c r="F284" i="2" s="1"/>
  <c r="E35" i="2" s="1"/>
  <c r="E204" i="2"/>
  <c r="D256" i="2"/>
  <c r="E256" i="2" s="1"/>
  <c r="D257" i="2" s="1"/>
  <c r="E257" i="2" s="1"/>
  <c r="F258" i="2" s="1"/>
  <c r="E33" i="2" s="1"/>
  <c r="E130" i="2"/>
  <c r="E191" i="2"/>
  <c r="D177" i="2"/>
  <c r="E97" i="2"/>
  <c r="C31" i="8" l="1"/>
  <c r="C37" i="5"/>
  <c r="C28" i="8" s="1"/>
  <c r="C36" i="8" s="1"/>
  <c r="D192" i="2"/>
  <c r="E192" i="2" s="1"/>
  <c r="C206" i="2"/>
  <c r="C29" i="8"/>
  <c r="C20" i="8"/>
  <c r="C26" i="8" s="1"/>
  <c r="C35" i="8" s="1"/>
  <c r="D80" i="2"/>
  <c r="E80" i="2" s="1"/>
  <c r="D81" i="2" s="1"/>
  <c r="E81" i="2" s="1"/>
  <c r="D116" i="2"/>
  <c r="E116" i="2" s="1"/>
  <c r="D118" i="2" s="1"/>
  <c r="E118" i="2" s="1"/>
  <c r="E23" i="2"/>
  <c r="F144" i="2"/>
  <c r="E24" i="2" s="1"/>
  <c r="E177" i="2"/>
  <c r="F178" i="2" s="1"/>
  <c r="E164" i="2"/>
  <c r="F165" i="2" s="1"/>
  <c r="D196" i="2"/>
  <c r="E196" i="2" s="1"/>
  <c r="D197" i="2" s="1"/>
  <c r="E197" i="2" s="1"/>
  <c r="F131" i="2"/>
  <c r="E22" i="2" s="1"/>
  <c r="F244" i="2"/>
  <c r="E31" i="2" s="1"/>
  <c r="D98" i="2"/>
  <c r="C207" i="2" l="1"/>
  <c r="D208" i="2" s="1"/>
  <c r="E208" i="2" s="1"/>
  <c r="D220" i="2"/>
  <c r="E220" i="2" s="1"/>
  <c r="D223" i="2" s="1"/>
  <c r="E223" i="2" s="1"/>
  <c r="F224" i="2" s="1"/>
  <c r="E30" i="2" s="1"/>
  <c r="C30" i="8"/>
  <c r="C33" i="8" s="1"/>
  <c r="C37" i="8"/>
  <c r="E198" i="2"/>
  <c r="D199" i="2" s="1"/>
  <c r="E199" i="2" s="1"/>
  <c r="F200" i="2" s="1"/>
  <c r="E28" i="2" s="1"/>
  <c r="C212" i="2"/>
  <c r="D213" i="2" s="1"/>
  <c r="E213" i="2" s="1"/>
  <c r="E214" i="2" s="1"/>
  <c r="D215" i="2" s="1"/>
  <c r="E215" i="2" s="1"/>
  <c r="F216" i="2" s="1"/>
  <c r="F180" i="2"/>
  <c r="E25" i="2" s="1"/>
  <c r="E119" i="2"/>
  <c r="D120" i="2" s="1"/>
  <c r="E82" i="2"/>
  <c r="C38" i="8" l="1"/>
  <c r="E29" i="2"/>
  <c r="E27" i="2" s="1"/>
  <c r="F261" i="2"/>
  <c r="E26" i="2" s="1"/>
  <c r="D83" i="2"/>
  <c r="C120" i="16" l="1"/>
  <c r="E120" i="16" s="1"/>
  <c r="E121" i="16" s="1"/>
  <c r="D122" i="16" s="1"/>
  <c r="E122" i="16" s="1"/>
  <c r="F123" i="16" s="1"/>
  <c r="C98" i="16"/>
  <c r="E98" i="16" s="1"/>
  <c r="E99" i="16" s="1"/>
  <c r="D100" i="16" s="1"/>
  <c r="E100" i="16" s="1"/>
  <c r="F101" i="16" s="1"/>
  <c r="E20" i="16" s="1"/>
  <c r="C83" i="16"/>
  <c r="E83" i="16" s="1"/>
  <c r="E84" i="16" s="1"/>
  <c r="D85" i="16" s="1"/>
  <c r="E85" i="16" s="1"/>
  <c r="F86" i="16" s="1"/>
  <c r="E19" i="16" s="1"/>
  <c r="C64" i="16"/>
  <c r="E64" i="16" s="1"/>
  <c r="E65" i="16" s="1"/>
  <c r="D66" i="16" s="1"/>
  <c r="E66" i="16" s="1"/>
  <c r="F67" i="16" s="1"/>
  <c r="E18" i="16" s="1"/>
  <c r="C98" i="2"/>
  <c r="C83" i="2"/>
  <c r="E83" i="2" s="1"/>
  <c r="E84" i="2" s="1"/>
  <c r="D85" i="2" s="1"/>
  <c r="E85" i="2" s="1"/>
  <c r="F86" i="2" s="1"/>
  <c r="E19" i="2" s="1"/>
  <c r="C64" i="2"/>
  <c r="E64" i="2" s="1"/>
  <c r="E65" i="2" s="1"/>
  <c r="D66" i="2" s="1"/>
  <c r="E66" i="2" s="1"/>
  <c r="F67" i="2" s="1"/>
  <c r="E18" i="2" s="1"/>
  <c r="C120" i="2"/>
  <c r="E120" i="2" s="1"/>
  <c r="E121" i="2" s="1"/>
  <c r="D122" i="2" s="1"/>
  <c r="E122" i="2" s="1"/>
  <c r="F123" i="2" s="1"/>
  <c r="E21" i="2" s="1"/>
  <c r="E98" i="2"/>
  <c r="E99" i="2" s="1"/>
  <c r="D100" i="2" s="1"/>
  <c r="E100" i="2" s="1"/>
  <c r="F101" i="2" s="1"/>
  <c r="E20" i="2" s="1"/>
  <c r="E21" i="16" l="1"/>
  <c r="F145" i="16"/>
  <c r="F146" i="2"/>
  <c r="F286" i="2" s="1"/>
  <c r="E17" i="16" l="1"/>
  <c r="F285" i="16"/>
  <c r="E17" i="2"/>
  <c r="D291" i="2"/>
  <c r="E291" i="2" s="1"/>
  <c r="F292" i="2" s="1"/>
  <c r="F294" i="2" s="1"/>
  <c r="E36" i="2" s="1"/>
  <c r="D290" i="16" l="1"/>
  <c r="E290" i="16" s="1"/>
  <c r="F291" i="16" s="1"/>
  <c r="F293" i="16" s="1"/>
  <c r="E36" i="16" s="1"/>
  <c r="E37" i="16" s="1"/>
  <c r="F17" i="16" s="1"/>
  <c r="E37" i="2"/>
  <c r="F17" i="2" s="1"/>
  <c r="F297" i="2"/>
  <c r="F4" i="19" s="1"/>
  <c r="F35" i="2" l="1"/>
  <c r="G4" i="19"/>
  <c r="G6" i="19"/>
  <c r="F36" i="16"/>
  <c r="F22" i="16"/>
  <c r="F34" i="16"/>
  <c r="F31" i="16"/>
  <c r="F24" i="16"/>
  <c r="F35" i="16"/>
  <c r="F27" i="16"/>
  <c r="F23" i="16"/>
  <c r="F32" i="16"/>
  <c r="F33" i="16"/>
  <c r="F25" i="16"/>
  <c r="F29" i="16"/>
  <c r="F28" i="16"/>
  <c r="F30" i="16"/>
  <c r="F26" i="16"/>
  <c r="F19" i="16"/>
  <c r="F20" i="16"/>
  <c r="F18" i="16"/>
  <c r="F21" i="16"/>
  <c r="F296" i="16"/>
  <c r="F5" i="19" s="1"/>
  <c r="F302" i="2"/>
  <c r="F19" i="2"/>
  <c r="F25" i="2"/>
  <c r="F18" i="2"/>
  <c r="F24" i="2"/>
  <c r="F21" i="2"/>
  <c r="F26" i="2"/>
  <c r="F33" i="2"/>
  <c r="F32" i="2"/>
  <c r="F20" i="2"/>
  <c r="F27" i="2"/>
  <c r="F28" i="2"/>
  <c r="F29" i="2"/>
  <c r="F23" i="2"/>
  <c r="F30" i="2"/>
  <c r="F22" i="2"/>
  <c r="F34" i="2"/>
  <c r="F31" i="2"/>
  <c r="F36" i="2"/>
  <c r="F307" i="16" l="1"/>
  <c r="F37" i="16"/>
  <c r="G7" i="19"/>
  <c r="F301" i="16"/>
  <c r="F37" i="2"/>
  <c r="G5" i="19" l="1"/>
  <c r="F9" i="19"/>
  <c r="B20" i="19" s="1"/>
  <c r="G9" i="19" l="1"/>
  <c r="F11" i="19"/>
</calcChain>
</file>

<file path=xl/comments1.xml><?xml version="1.0" encoding="utf-8"?>
<comments xmlns="http://schemas.openxmlformats.org/spreadsheetml/2006/main">
  <authors>
    <author>Clauber Bridi</author>
  </authors>
  <commentList>
    <comment ref="A15" authorId="0">
      <text>
        <r>
          <rPr>
            <sz val="9"/>
            <color indexed="81"/>
            <rFont val="Tahoma"/>
            <family val="2"/>
          </rPr>
          <t>Qualquer custo previsto no edital e não contemplado nesta planilha modelo deverá ser devidamente incluído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2" authorId="0">
      <text>
        <r>
          <rPr>
            <b/>
            <sz val="9"/>
            <color indexed="81"/>
            <rFont val="Tahoma"/>
            <family val="2"/>
          </rPr>
          <t>Informar o fator de utilização das equipes de coleta. 
Por exemplo:
Equipes com utilização integral = 100%
Equipes com utilização parcial = n° horas trabalhadas por semana /44 horas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9" authorId="0">
      <text>
        <r>
          <rPr>
            <sz val="9"/>
            <color indexed="81"/>
            <rFont val="Tahoma"/>
            <family val="2"/>
          </rPr>
          <t>Informar o número de horas extras trabalhadas nos domingos e feriados em horário diurno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0" author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diurno de segunda a sábado 
</t>
        </r>
      </text>
    </comment>
    <comment ref="A61" author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4" author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66" author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C72" authorId="0">
      <text>
        <r>
          <rPr>
            <sz val="9"/>
            <color indexed="81"/>
            <rFont val="Tahoma"/>
            <family val="2"/>
          </rPr>
          <t>Informar o número de horas noturnas trabalhadas no intervalo das 22:00h as 5:00h</t>
        </r>
      </text>
    </comment>
    <comment ref="C74" authorId="0">
      <text>
        <r>
          <rPr>
            <sz val="9"/>
            <color indexed="81"/>
            <rFont val="Tahoma"/>
            <family val="2"/>
          </rPr>
          <t>Informar o número de horas extras trabalhadas em horário diurno nos domingos e feriados</t>
        </r>
      </text>
    </comment>
    <comment ref="C75" author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noturno (das 22:00h as 5h) nos domingos e feriados
</t>
        </r>
      </text>
    </comment>
    <comment ref="C77" authorId="0">
      <text>
        <r>
          <rPr>
            <sz val="9"/>
            <color indexed="81"/>
            <rFont val="Tahoma"/>
            <family val="2"/>
          </rPr>
          <t>Informar o número de horas extras trabalhadas em horário noturno de segunda à sábado</t>
        </r>
      </text>
    </comment>
    <comment ref="C78" authorId="0">
      <text>
        <r>
          <rPr>
            <sz val="9"/>
            <color indexed="81"/>
            <rFont val="Tahoma"/>
            <family val="2"/>
          </rPr>
          <t>Informar o número de horas extras trabalhadas em horário noturno (das 22:00h as 5h) de segunda a sábado</t>
        </r>
      </text>
    </comment>
    <comment ref="A80" author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Considerados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3" author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85" author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91" authorId="0">
      <text>
        <r>
          <rPr>
            <sz val="9"/>
            <color indexed="81"/>
            <rFont val="Tahoma"/>
            <family val="2"/>
          </rPr>
          <t>Informar o valor do salário Mínimo Nacional</t>
        </r>
      </text>
    </comment>
    <comment ref="C92" authorId="0">
      <text>
        <r>
          <rPr>
            <sz val="9"/>
            <color indexed="81"/>
            <rFont val="Tahoma"/>
            <family val="2"/>
          </rPr>
          <t>Informar o número de horas extras trabalhadas em horário diurno nos domingos e feriados</t>
        </r>
      </text>
    </comment>
    <comment ref="C93" author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diurno de segunda a sábado 
</t>
        </r>
      </text>
    </comment>
    <comment ref="A94" author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5" authorId="0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96" authorId="0">
      <text>
        <r>
          <rPr>
            <sz val="9"/>
            <color indexed="81"/>
            <rFont val="Tahoma"/>
            <family val="2"/>
          </rPr>
          <t>Percentual estabelecido nas Normas de Segurança de Trabalho ou pelo laudo de responsável técnico devidamente habilitado</t>
        </r>
      </text>
    </comment>
    <comment ref="C98" author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100" author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C108" authorId="0">
      <text>
        <r>
          <rPr>
            <sz val="9"/>
            <color indexed="81"/>
            <rFont val="Tahoma"/>
            <family val="2"/>
          </rPr>
          <t>Informar o número de horas noturnas trabalhadas no intervalo das 22:00h as 5:00h</t>
        </r>
      </text>
    </comment>
    <comment ref="C110" authorId="0">
      <text>
        <r>
          <rPr>
            <sz val="9"/>
            <color indexed="81"/>
            <rFont val="Tahoma"/>
            <family val="2"/>
          </rPr>
          <t>Informar o número de horas extras trabalhadas em horário noturno nos domingos e feriados</t>
        </r>
      </text>
    </comment>
    <comment ref="C111" author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noturno (das 22:00h as 5h) nos domingos e feriados
</t>
        </r>
      </text>
    </comment>
    <comment ref="C113" authorId="0">
      <text>
        <r>
          <rPr>
            <sz val="9"/>
            <color indexed="81"/>
            <rFont val="Tahoma"/>
            <family val="2"/>
          </rPr>
          <t>Informar o número de horas extras trabalhadas em horário noturno de segunda à sábado</t>
        </r>
      </text>
    </comment>
    <comment ref="C114" authorId="0">
      <text>
        <r>
          <rPr>
            <sz val="9"/>
            <color indexed="81"/>
            <rFont val="Tahoma"/>
            <family val="2"/>
          </rPr>
          <t>Informar o número de horas extras trabalhadas em horário noturno (das 22:00h as 5h) de segunda a sábado</t>
        </r>
      </text>
    </comment>
    <comment ref="A116" author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Considerados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7" authorId="0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120" author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122" author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127" authorId="0">
      <text>
        <r>
          <rPr>
            <sz val="9"/>
            <color indexed="81"/>
            <rFont val="Tahoma"/>
            <family val="2"/>
          </rPr>
          <t>Informar o valor unitário do VT no município</t>
        </r>
      </text>
    </comment>
    <comment ref="C128" authorId="0">
      <text>
        <r>
          <rPr>
            <sz val="9"/>
            <color indexed="81"/>
            <rFont val="Tahoma"/>
            <family val="2"/>
          </rPr>
          <t>Informar o número médio de dias trabalhados por mês</t>
        </r>
      </text>
    </comment>
    <comment ref="D129" authorId="0">
      <text>
        <r>
          <rPr>
            <sz val="9"/>
            <color indexed="81"/>
            <rFont val="Tahoma"/>
            <family val="2"/>
          </rPr>
          <t>Valor Unitário considerando o desconto legal de até 6% do salário</t>
        </r>
      </text>
    </comment>
    <comment ref="D130" authorId="0">
      <text>
        <r>
          <rPr>
            <sz val="9"/>
            <color indexed="81"/>
            <rFont val="Tahoma"/>
            <family val="2"/>
          </rPr>
          <t xml:space="preserve">Valor Unitário considerando o desconto legal de até 6% do salário
</t>
        </r>
      </text>
    </comment>
    <comment ref="D135" authorId="0">
      <text>
        <r>
          <rPr>
            <sz val="9"/>
            <color indexed="81"/>
            <rFont val="Tahoma"/>
            <family val="2"/>
          </rPr>
          <t>Informar o valor unitário diário do vale refeição, considerando o desconto aplicável ao funcionário, conforme Convenção Coletiva da categoria.</t>
        </r>
      </text>
    </comment>
    <comment ref="D136" authorId="0">
      <text>
        <r>
          <rPr>
            <sz val="9"/>
            <color indexed="81"/>
            <rFont val="Tahoma"/>
            <family val="2"/>
          </rPr>
          <t>Informar o valor unitário diário do vale refeição, considerando o desconto aplicável ao funcionário, conforme Convenção Coletiva da categoria.</t>
        </r>
      </text>
    </comment>
    <comment ref="D137" authorId="0">
      <text>
        <r>
          <rPr>
            <sz val="9"/>
            <color indexed="81"/>
            <rFont val="Tahoma"/>
            <family val="2"/>
          </rPr>
          <t>Informar o valor unitário diário do vale refeição, considerando o desconto aplicável ao funcionário, conforme Convenção Coletiva da categoria.</t>
        </r>
      </text>
    </comment>
    <comment ref="D142" authorId="0">
      <text>
        <r>
          <rPr>
            <sz val="9"/>
            <color indexed="81"/>
            <rFont val="Tahoma"/>
            <family val="2"/>
          </rPr>
          <t>Informar o valor mensal do auxilio alimentação, considerando o desconto aplicável ao funcionário, conforme Convenção Coletiva da categoria</t>
        </r>
      </text>
    </comment>
    <comment ref="D143" authorId="0">
      <text>
        <r>
          <rPr>
            <sz val="9"/>
            <color indexed="81"/>
            <rFont val="Tahoma"/>
            <family val="2"/>
          </rPr>
          <t>Informar o valor mensal do auxilio alimentação, considerando o desconto aplicável ao funcionário, conforme Convenção Coletiva da categoria</t>
        </r>
      </text>
    </comment>
    <comment ref="C170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71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72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73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74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75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76" authorId="0">
      <text>
        <r>
          <rPr>
            <sz val="9"/>
            <color indexed="81"/>
            <rFont val="Tahoma"/>
            <family val="2"/>
          </rPr>
          <t>Informar o valor mensal de higienização de uniforme para 1 funcionário</t>
        </r>
      </text>
    </comment>
    <comment ref="D188" authorId="0">
      <text>
        <r>
          <rPr>
            <sz val="9"/>
            <color indexed="81"/>
            <rFont val="Tahoma"/>
            <family val="2"/>
          </rPr>
          <t>Informar o preço unitário do chassis do caminhão de coleta</t>
        </r>
      </text>
    </comment>
    <comment ref="C189" authorId="0">
      <text>
        <r>
          <rPr>
            <sz val="9"/>
            <color indexed="81"/>
            <rFont val="Tahoma"/>
            <family val="2"/>
          </rPr>
          <t>Informar a vida útil estimada para o caminhão, em anos</t>
        </r>
      </text>
    </comment>
    <comment ref="C190" author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veículo proposto.</t>
        </r>
      </text>
    </comment>
    <comment ref="C191" authorId="0">
      <text>
        <r>
          <rPr>
            <b/>
            <sz val="9"/>
            <color indexed="81"/>
            <rFont val="Tahoma"/>
            <family val="2"/>
          </rPr>
          <t xml:space="preserve">Informar o valor da depreciação do caminhão,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3" authorId="0">
      <text>
        <r>
          <rPr>
            <sz val="9"/>
            <color indexed="81"/>
            <rFont val="Tahoma"/>
            <family val="2"/>
          </rPr>
          <t xml:space="preserve">Informar o preço unitário do equipamento compactador
</t>
        </r>
      </text>
    </comment>
    <comment ref="C194" authorId="0">
      <text>
        <r>
          <rPr>
            <sz val="9"/>
            <color indexed="81"/>
            <rFont val="Tahoma"/>
            <family val="2"/>
          </rPr>
          <t>Informar a vida útil estimada para o compactador, em anos</t>
        </r>
      </text>
    </comment>
    <comment ref="C195" author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compactador proposto.</t>
        </r>
      </text>
    </comment>
    <comment ref="C196" authorId="0">
      <text>
        <r>
          <rPr>
            <b/>
            <sz val="9"/>
            <color indexed="81"/>
            <rFont val="Tahoma"/>
            <family val="2"/>
          </rPr>
          <t xml:space="preserve">Informar o valor da depreciação do compactador,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99" authorId="0">
      <text>
        <r>
          <rPr>
            <sz val="9"/>
            <color indexed="81"/>
            <rFont val="Tahoma"/>
            <family val="2"/>
          </rPr>
          <t>Informar a quantidade de caminhões compactadores do respectivo modelo</t>
        </r>
      </text>
    </comment>
    <comment ref="C205" authorId="0">
      <text>
        <r>
          <rPr>
            <b/>
            <sz val="9"/>
            <color indexed="81"/>
            <rFont val="Tahoma"/>
            <family val="2"/>
          </rPr>
          <t>Informar a taxa de juros anual para remuneração do capital. Recomenda-se o uso da Taxa SELIC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1" authorId="0">
      <text>
        <r>
          <rPr>
            <sz val="9"/>
            <color indexed="81"/>
            <rFont val="Tahoma"/>
            <family val="2"/>
          </rPr>
          <t xml:space="preserve">Informar o valor do seguro obrigatório e licenciamento anual de um caminhão
</t>
        </r>
      </text>
    </comment>
    <comment ref="D222" authorId="0">
      <text>
        <r>
          <rPr>
            <sz val="9"/>
            <color indexed="81"/>
            <rFont val="Tahoma"/>
            <family val="2"/>
          </rPr>
          <t xml:space="preserve">Informar o valor do seguro contra terceiros de um caminhão, se houver previsão no Projeto Básico
</t>
        </r>
      </text>
    </comment>
    <comment ref="B228" authorId="0">
      <text>
        <r>
          <rPr>
            <sz val="9"/>
            <color indexed="81"/>
            <rFont val="Tahoma"/>
            <family val="2"/>
          </rPr>
          <t xml:space="preserve">Informar a quilometragem mensal percorrida, de acordo com o projeto básico
</t>
        </r>
      </text>
    </comment>
    <comment ref="C231" authorId="0">
      <text>
        <r>
          <rPr>
            <sz val="9"/>
            <color indexed="81"/>
            <rFont val="Tahoma"/>
            <family val="2"/>
          </rPr>
          <t>Informar o consumo estimado do veículo em km/l</t>
        </r>
      </text>
    </comment>
    <comment ref="D231" authorId="0">
      <text>
        <r>
          <rPr>
            <sz val="9"/>
            <color indexed="81"/>
            <rFont val="Tahoma"/>
            <family val="2"/>
          </rPr>
          <t xml:space="preserve">Informar o preço unitário do combustivel
</t>
        </r>
      </text>
    </comment>
    <comment ref="C233" authorId="0">
      <text>
        <r>
          <rPr>
            <sz val="9"/>
            <color indexed="81"/>
            <rFont val="Tahoma"/>
            <family val="2"/>
          </rPr>
          <t>Informar o consumo de óleo do motor a cada 1000km</t>
        </r>
      </text>
    </comment>
    <comment ref="D233" authorId="0">
      <text>
        <r>
          <rPr>
            <sz val="9"/>
            <color indexed="81"/>
            <rFont val="Tahoma"/>
            <family val="2"/>
          </rPr>
          <t xml:space="preserve">Informar o preço unitário do litro do óleo do motor
</t>
        </r>
      </text>
    </comment>
    <comment ref="C235" authorId="0">
      <text>
        <r>
          <rPr>
            <sz val="9"/>
            <color indexed="81"/>
            <rFont val="Tahoma"/>
            <family val="2"/>
          </rPr>
          <t>Informar o consumo de óleo da transmissão a cada 1000km</t>
        </r>
      </text>
    </comment>
    <comment ref="D235" authorId="0">
      <text>
        <r>
          <rPr>
            <sz val="9"/>
            <color indexed="81"/>
            <rFont val="Tahoma"/>
            <family val="2"/>
          </rPr>
          <t xml:space="preserve">Informar o preço unitário do litro do óleo da transmissão
</t>
        </r>
      </text>
    </comment>
    <comment ref="C237" authorId="0">
      <text>
        <r>
          <rPr>
            <sz val="9"/>
            <color indexed="81"/>
            <rFont val="Tahoma"/>
            <family val="2"/>
          </rPr>
          <t>Informar o consumo de óleo hidráulico a cada 1000km</t>
        </r>
      </text>
    </comment>
    <comment ref="D237" authorId="0">
      <text>
        <r>
          <rPr>
            <sz val="9"/>
            <color indexed="81"/>
            <rFont val="Tahoma"/>
            <family val="2"/>
          </rPr>
          <t xml:space="preserve">Informar o preço unitário do litro do óleo hidráulico
</t>
        </r>
      </text>
    </comment>
    <comment ref="C239" authorId="0">
      <text>
        <r>
          <rPr>
            <sz val="9"/>
            <color indexed="81"/>
            <rFont val="Tahoma"/>
            <family val="2"/>
          </rPr>
          <t>Informar o consumo de aditivo arla a cada 1000km</t>
        </r>
      </text>
    </comment>
    <comment ref="D239" authorId="0">
      <text>
        <r>
          <rPr>
            <sz val="9"/>
            <color indexed="81"/>
            <rFont val="Tahoma"/>
            <family val="2"/>
          </rPr>
          <t xml:space="preserve">Informar o preço unitário do litro do óleo hidráulico
</t>
        </r>
      </text>
    </comment>
    <comment ref="C241" authorId="0">
      <text>
        <r>
          <rPr>
            <sz val="9"/>
            <color indexed="81"/>
            <rFont val="Tahoma"/>
            <family val="2"/>
          </rPr>
          <t>Informar o consumo de graxa a cada 1000km</t>
        </r>
      </text>
    </comment>
    <comment ref="D241" authorId="0">
      <text>
        <r>
          <rPr>
            <sz val="9"/>
            <color indexed="81"/>
            <rFont val="Tahoma"/>
            <family val="2"/>
          </rPr>
          <t xml:space="preserve">Informar o preço unitário do litro da graxa
</t>
        </r>
      </text>
    </comment>
    <comment ref="D248" authorId="0">
      <text>
        <r>
          <rPr>
            <sz val="9"/>
            <color indexed="81"/>
            <rFont val="Tahoma"/>
            <family val="2"/>
          </rPr>
          <t xml:space="preserve">Informar o custo de manutenção em R$/km rodado
</t>
        </r>
      </text>
    </comment>
    <comment ref="C253" authorId="0">
      <text>
        <r>
          <rPr>
            <sz val="9"/>
            <color indexed="81"/>
            <rFont val="Tahoma"/>
            <family val="2"/>
          </rPr>
          <t>Informar a quantidade de pneus novos de 1 caminhão</t>
        </r>
      </text>
    </comment>
    <comment ref="D253" authorId="0">
      <text>
        <r>
          <rPr>
            <sz val="9"/>
            <color indexed="81"/>
            <rFont val="Tahoma"/>
            <family val="2"/>
          </rPr>
          <t xml:space="preserve">Informar o preço unitário de cada pneu
</t>
        </r>
      </text>
    </comment>
    <comment ref="C254" authorId="0">
      <text>
        <r>
          <rPr>
            <sz val="9"/>
            <color indexed="81"/>
            <rFont val="Tahoma"/>
            <family val="2"/>
          </rPr>
          <t>Informar o número de recapagens por pneu</t>
        </r>
      </text>
    </comment>
    <comment ref="D255" authorId="0">
      <text>
        <r>
          <rPr>
            <sz val="9"/>
            <color indexed="81"/>
            <rFont val="Tahoma"/>
            <family val="2"/>
          </rPr>
          <t xml:space="preserve">Informar o preço unitário de cada recapagem
</t>
        </r>
      </text>
    </comment>
    <comment ref="C256" authorId="0">
      <text>
        <r>
          <rPr>
            <sz val="9"/>
            <color indexed="81"/>
            <rFont val="Tahoma"/>
            <family val="2"/>
          </rPr>
          <t xml:space="preserve">Informar a durabilidade média dos pneus considerando as recapagens, em km
</t>
        </r>
      </text>
    </comment>
    <comment ref="C266" author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66" author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67" author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67" author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68" author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68" author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69" author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69" author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70" author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70" author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A275" authorId="0">
      <text>
        <r>
          <rPr>
            <b/>
            <sz val="9"/>
            <color indexed="81"/>
            <rFont val="Tahoma"/>
            <family val="2"/>
          </rPr>
          <t>Especificar somente quando for exigido no Projeto Básico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78" authorId="0">
      <text>
        <r>
          <rPr>
            <sz val="9"/>
            <color indexed="81"/>
            <rFont val="Tahoma"/>
            <family val="2"/>
          </rPr>
          <t>Informar o valor total para instalação do equipamento de monitoramento da frota, se houver previsão no Projeto Básico</t>
        </r>
      </text>
    </comment>
    <comment ref="D280" authorId="0">
      <text>
        <r>
          <rPr>
            <sz val="9"/>
            <color indexed="81"/>
            <rFont val="Tahoma"/>
            <family val="2"/>
          </rPr>
          <t>Informar o valor unitário mensal para manutenção dos equipamentos de monitoramento</t>
        </r>
      </text>
    </comment>
    <comment ref="C291" authorId="0">
      <text>
        <r>
          <rPr>
            <sz val="9"/>
            <color indexed="81"/>
            <rFont val="Tahoma"/>
            <family val="2"/>
          </rPr>
          <t>Preencher a aba 4.BDI</t>
        </r>
      </text>
    </comment>
    <comment ref="D300" authorId="0">
      <text>
        <r>
          <rPr>
            <sz val="9"/>
            <color indexed="81"/>
            <rFont val="Tahoma"/>
            <family val="2"/>
          </rPr>
          <t xml:space="preserve">Informar a quantidade média coletada nos últimos 12 meses
</t>
        </r>
      </text>
    </comment>
  </commentList>
</comments>
</file>

<file path=xl/comments2.xml><?xml version="1.0" encoding="utf-8"?>
<comments xmlns="http://schemas.openxmlformats.org/spreadsheetml/2006/main">
  <authors>
    <author>Clauber Bridi</author>
  </authors>
  <commentList>
    <comment ref="A15" authorId="0">
      <text>
        <r>
          <rPr>
            <sz val="9"/>
            <color indexed="81"/>
            <rFont val="Tahoma"/>
            <family val="2"/>
          </rPr>
          <t>Qualquer custo previsto no edital e não contemplado nesta planilha modelo deverá ser devidamente incluído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2" authorId="0">
      <text>
        <r>
          <rPr>
            <b/>
            <sz val="9"/>
            <color indexed="81"/>
            <rFont val="Tahoma"/>
            <family val="2"/>
          </rPr>
          <t>Informar o fator de utilização das equipes de coleta. 
Por exemplo:
Equipes com utilização integral = 100%
Equipes com utilização parcial = n° horas trabalhadas por semana /44 horas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9" authorId="0">
      <text>
        <r>
          <rPr>
            <sz val="9"/>
            <color indexed="81"/>
            <rFont val="Tahoma"/>
            <family val="2"/>
          </rPr>
          <t>Informar o número de horas extras trabalhadas nos domingos e feriados em horário diurno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0" author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diurno de segunda a sábado 
</t>
        </r>
      </text>
    </comment>
    <comment ref="A61" author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4" author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66" author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C72" authorId="0">
      <text>
        <r>
          <rPr>
            <sz val="9"/>
            <color indexed="81"/>
            <rFont val="Tahoma"/>
            <family val="2"/>
          </rPr>
          <t>Informar o número de horas noturnas trabalhadas no intervalo das 22:00h as 5:00h</t>
        </r>
      </text>
    </comment>
    <comment ref="C74" authorId="0">
      <text>
        <r>
          <rPr>
            <sz val="9"/>
            <color indexed="81"/>
            <rFont val="Tahoma"/>
            <family val="2"/>
          </rPr>
          <t>Informar o número de horas extras trabalhadas em horário diurno nos domingos e feriados</t>
        </r>
      </text>
    </comment>
    <comment ref="C75" author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noturno (das 22:00h as 5h) nos domingos e feriados
</t>
        </r>
      </text>
    </comment>
    <comment ref="C77" authorId="0">
      <text>
        <r>
          <rPr>
            <sz val="9"/>
            <color indexed="81"/>
            <rFont val="Tahoma"/>
            <family val="2"/>
          </rPr>
          <t>Informar o número de horas extras trabalhadas em horário noturno de segunda à sábado</t>
        </r>
      </text>
    </comment>
    <comment ref="C78" authorId="0">
      <text>
        <r>
          <rPr>
            <sz val="9"/>
            <color indexed="81"/>
            <rFont val="Tahoma"/>
            <family val="2"/>
          </rPr>
          <t>Informar o número de horas extras trabalhadas em horário noturno (das 22:00h as 5h) de segunda a sábado</t>
        </r>
      </text>
    </comment>
    <comment ref="A80" author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Considerados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3" author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85" author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91" authorId="0">
      <text>
        <r>
          <rPr>
            <sz val="9"/>
            <color indexed="81"/>
            <rFont val="Tahoma"/>
            <family val="2"/>
          </rPr>
          <t>Informar o valor do salário Mínimo Nacional</t>
        </r>
      </text>
    </comment>
    <comment ref="C92" authorId="0">
      <text>
        <r>
          <rPr>
            <sz val="9"/>
            <color indexed="81"/>
            <rFont val="Tahoma"/>
            <family val="2"/>
          </rPr>
          <t>Informar o número de horas extras trabalhadas em horário diurno nos domingos e feriados</t>
        </r>
      </text>
    </comment>
    <comment ref="C93" author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diurno de segunda a sábado 
</t>
        </r>
      </text>
    </comment>
    <comment ref="A94" author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5" authorId="0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96" authorId="0">
      <text>
        <r>
          <rPr>
            <sz val="9"/>
            <color indexed="81"/>
            <rFont val="Tahoma"/>
            <family val="2"/>
          </rPr>
          <t>Percentual estabelecido nas Normas de Segurança de Trabalho ou pelo laudo de responsável técnico devidamente habilitado</t>
        </r>
      </text>
    </comment>
    <comment ref="C98" author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100" author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C108" authorId="0">
      <text>
        <r>
          <rPr>
            <sz val="9"/>
            <color indexed="81"/>
            <rFont val="Tahoma"/>
            <family val="2"/>
          </rPr>
          <t>Informar o número de horas noturnas trabalhadas no intervalo das 22:00h as 5:00h</t>
        </r>
      </text>
    </comment>
    <comment ref="C110" authorId="0">
      <text>
        <r>
          <rPr>
            <sz val="9"/>
            <color indexed="81"/>
            <rFont val="Tahoma"/>
            <family val="2"/>
          </rPr>
          <t>Informar o número de horas extras trabalhadas em horário noturno nos domingos e feriados</t>
        </r>
      </text>
    </comment>
    <comment ref="C111" author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noturno (das 22:00h as 5h) nos domingos e feriados
</t>
        </r>
      </text>
    </comment>
    <comment ref="C113" authorId="0">
      <text>
        <r>
          <rPr>
            <sz val="9"/>
            <color indexed="81"/>
            <rFont val="Tahoma"/>
            <family val="2"/>
          </rPr>
          <t>Informar o número de horas extras trabalhadas em horário noturno de segunda à sábado</t>
        </r>
      </text>
    </comment>
    <comment ref="C114" authorId="0">
      <text>
        <r>
          <rPr>
            <sz val="9"/>
            <color indexed="81"/>
            <rFont val="Tahoma"/>
            <family val="2"/>
          </rPr>
          <t>Informar o número de horas extras trabalhadas em horário noturno (das 22:00h as 5h) de segunda a sábado</t>
        </r>
      </text>
    </comment>
    <comment ref="A116" author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Considerados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7" authorId="0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120" author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122" author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127" authorId="0">
      <text>
        <r>
          <rPr>
            <sz val="9"/>
            <color indexed="81"/>
            <rFont val="Tahoma"/>
            <family val="2"/>
          </rPr>
          <t>Informar o valor unitário do VT no município</t>
        </r>
      </text>
    </comment>
    <comment ref="C128" authorId="0">
      <text>
        <r>
          <rPr>
            <sz val="9"/>
            <color indexed="81"/>
            <rFont val="Tahoma"/>
            <family val="2"/>
          </rPr>
          <t>Informar o número médio de dias trabalhados por mês</t>
        </r>
      </text>
    </comment>
    <comment ref="D129" authorId="0">
      <text>
        <r>
          <rPr>
            <sz val="9"/>
            <color indexed="81"/>
            <rFont val="Tahoma"/>
            <family val="2"/>
          </rPr>
          <t>Valor Unitário considerando o desconto legal de até 6% do salário</t>
        </r>
      </text>
    </comment>
    <comment ref="D130" authorId="0">
      <text>
        <r>
          <rPr>
            <sz val="9"/>
            <color indexed="81"/>
            <rFont val="Tahoma"/>
            <family val="2"/>
          </rPr>
          <t xml:space="preserve">Valor Unitário considerando o desconto legal de até 6% do salário
</t>
        </r>
      </text>
    </comment>
    <comment ref="D135" authorId="0">
      <text>
        <r>
          <rPr>
            <sz val="9"/>
            <color indexed="81"/>
            <rFont val="Tahoma"/>
            <family val="2"/>
          </rPr>
          <t>Informar o valor unitário diário do vale refeição, considerando o desconto aplicável ao funcionário, conforme Convenção Coletiva da categoria.</t>
        </r>
      </text>
    </comment>
    <comment ref="D136" authorId="0">
      <text>
        <r>
          <rPr>
            <sz val="9"/>
            <color indexed="81"/>
            <rFont val="Tahoma"/>
            <family val="2"/>
          </rPr>
          <t>Informar o valor unitário diário do vale refeição, considerando o desconto aplicável ao funcionário, conforme Convenção Coletiva da categoria.</t>
        </r>
      </text>
    </comment>
    <comment ref="D141" authorId="0">
      <text>
        <r>
          <rPr>
            <sz val="9"/>
            <color indexed="81"/>
            <rFont val="Tahoma"/>
            <family val="2"/>
          </rPr>
          <t>Informar o valor mensal do auxilio alimentação, considerando o desconto aplicável ao funcionário, conforme Convenção Coletiva da categoria</t>
        </r>
      </text>
    </comment>
    <comment ref="D142" authorId="0">
      <text>
        <r>
          <rPr>
            <sz val="9"/>
            <color indexed="81"/>
            <rFont val="Tahoma"/>
            <family val="2"/>
          </rPr>
          <t>Informar o valor mensal do auxilio alimentação, considerando o desconto aplicável ao funcionário, conforme Convenção Coletiva da categoria</t>
        </r>
      </text>
    </comment>
    <comment ref="C169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70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71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72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73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74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75" authorId="0">
      <text>
        <r>
          <rPr>
            <sz val="9"/>
            <color indexed="81"/>
            <rFont val="Tahoma"/>
            <family val="2"/>
          </rPr>
          <t>Informar o valor mensal de higienização de uniforme para 1 funcionário</t>
        </r>
      </text>
    </comment>
    <comment ref="D187" authorId="0">
      <text>
        <r>
          <rPr>
            <sz val="9"/>
            <color indexed="81"/>
            <rFont val="Tahoma"/>
            <family val="2"/>
          </rPr>
          <t>Informar o preço unitário do chassis do caminhão de coleta</t>
        </r>
      </text>
    </comment>
    <comment ref="C188" authorId="0">
      <text>
        <r>
          <rPr>
            <sz val="9"/>
            <color indexed="81"/>
            <rFont val="Tahoma"/>
            <family val="2"/>
          </rPr>
          <t>Informar a vida útil estimada para o caminhão, em anos</t>
        </r>
      </text>
    </comment>
    <comment ref="C189" author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veículo proposto.</t>
        </r>
      </text>
    </comment>
    <comment ref="C190" authorId="0">
      <text>
        <r>
          <rPr>
            <b/>
            <sz val="9"/>
            <color indexed="81"/>
            <rFont val="Tahoma"/>
            <family val="2"/>
          </rPr>
          <t xml:space="preserve">Informar o valor da depreciação do caminhão,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2" authorId="0">
      <text>
        <r>
          <rPr>
            <sz val="9"/>
            <color indexed="81"/>
            <rFont val="Tahoma"/>
            <family val="2"/>
          </rPr>
          <t xml:space="preserve">Informar o preço unitário do equipamento compactador
</t>
        </r>
      </text>
    </comment>
    <comment ref="C193" authorId="0">
      <text>
        <r>
          <rPr>
            <sz val="9"/>
            <color indexed="81"/>
            <rFont val="Tahoma"/>
            <family val="2"/>
          </rPr>
          <t>Informar a vida útil estimada para o compactador, em anos</t>
        </r>
      </text>
    </comment>
    <comment ref="C194" author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compactador proposto.</t>
        </r>
      </text>
    </comment>
    <comment ref="C195" authorId="0">
      <text>
        <r>
          <rPr>
            <b/>
            <sz val="9"/>
            <color indexed="81"/>
            <rFont val="Tahoma"/>
            <family val="2"/>
          </rPr>
          <t xml:space="preserve">Informar o valor da depreciação do compactador,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98" authorId="0">
      <text>
        <r>
          <rPr>
            <sz val="9"/>
            <color indexed="81"/>
            <rFont val="Tahoma"/>
            <family val="2"/>
          </rPr>
          <t>Informar a quantidade de caminhões compactadores do respectivo modelo</t>
        </r>
      </text>
    </comment>
    <comment ref="C204" authorId="0">
      <text>
        <r>
          <rPr>
            <b/>
            <sz val="9"/>
            <color indexed="81"/>
            <rFont val="Tahoma"/>
            <family val="2"/>
          </rPr>
          <t>Informar a taxa de juros anual para remuneração do capital. Recomenda-se o uso da Taxa SELIC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20" authorId="0">
      <text>
        <r>
          <rPr>
            <sz val="9"/>
            <color indexed="81"/>
            <rFont val="Tahoma"/>
            <family val="2"/>
          </rPr>
          <t xml:space="preserve">Informar o valor do seguro obrigatório e licenciamento anual de um caminhão
</t>
        </r>
      </text>
    </comment>
    <comment ref="D221" authorId="0">
      <text>
        <r>
          <rPr>
            <sz val="9"/>
            <color indexed="81"/>
            <rFont val="Tahoma"/>
            <family val="2"/>
          </rPr>
          <t xml:space="preserve">Informar o valor do seguro contra terceiros de um caminhão, se houver previsão no Projeto Básico
</t>
        </r>
      </text>
    </comment>
    <comment ref="B227" authorId="0">
      <text>
        <r>
          <rPr>
            <sz val="9"/>
            <color indexed="81"/>
            <rFont val="Tahoma"/>
            <family val="2"/>
          </rPr>
          <t xml:space="preserve">Informar a quilometragem mensal percorrida, de acordo com o projeto básico
</t>
        </r>
      </text>
    </comment>
    <comment ref="C230" authorId="0">
      <text>
        <r>
          <rPr>
            <sz val="9"/>
            <color indexed="81"/>
            <rFont val="Tahoma"/>
            <family val="2"/>
          </rPr>
          <t>Informar o consumo estimado do veículo em km/l</t>
        </r>
      </text>
    </comment>
    <comment ref="D230" authorId="0">
      <text>
        <r>
          <rPr>
            <sz val="9"/>
            <color indexed="81"/>
            <rFont val="Tahoma"/>
            <family val="2"/>
          </rPr>
          <t xml:space="preserve">Informar o preço unitário do combustivel
</t>
        </r>
      </text>
    </comment>
    <comment ref="C232" authorId="0">
      <text>
        <r>
          <rPr>
            <sz val="9"/>
            <color indexed="81"/>
            <rFont val="Tahoma"/>
            <family val="2"/>
          </rPr>
          <t>Informar o consumo de óleo do motor a cada 1000km</t>
        </r>
      </text>
    </comment>
    <comment ref="D232" authorId="0">
      <text>
        <r>
          <rPr>
            <sz val="9"/>
            <color indexed="81"/>
            <rFont val="Tahoma"/>
            <family val="2"/>
          </rPr>
          <t xml:space="preserve">Informar o preço unitário do litro do óleo do motor
</t>
        </r>
      </text>
    </comment>
    <comment ref="C234" authorId="0">
      <text>
        <r>
          <rPr>
            <sz val="9"/>
            <color indexed="81"/>
            <rFont val="Tahoma"/>
            <family val="2"/>
          </rPr>
          <t>Informar o consumo de óleo da transmissão a cada 1000km</t>
        </r>
      </text>
    </comment>
    <comment ref="D234" authorId="0">
      <text>
        <r>
          <rPr>
            <sz val="9"/>
            <color indexed="81"/>
            <rFont val="Tahoma"/>
            <family val="2"/>
          </rPr>
          <t xml:space="preserve">Informar o preço unitário do litro do óleo da transmissão
</t>
        </r>
      </text>
    </comment>
    <comment ref="C236" authorId="0">
      <text>
        <r>
          <rPr>
            <sz val="9"/>
            <color indexed="81"/>
            <rFont val="Tahoma"/>
            <family val="2"/>
          </rPr>
          <t>Informar o consumo de óleo hidráulico a cada 1000km</t>
        </r>
      </text>
    </comment>
    <comment ref="D236" authorId="0">
      <text>
        <r>
          <rPr>
            <sz val="9"/>
            <color indexed="81"/>
            <rFont val="Tahoma"/>
            <family val="2"/>
          </rPr>
          <t xml:space="preserve">Informar o preço unitário do litro do óleo hidráulico
</t>
        </r>
      </text>
    </comment>
    <comment ref="C238" authorId="0">
      <text>
        <r>
          <rPr>
            <sz val="9"/>
            <color indexed="81"/>
            <rFont val="Tahoma"/>
            <family val="2"/>
          </rPr>
          <t>Informar o consumo de aditivo arla a cada 1000km</t>
        </r>
      </text>
    </comment>
    <comment ref="D238" authorId="0">
      <text>
        <r>
          <rPr>
            <sz val="9"/>
            <color indexed="81"/>
            <rFont val="Tahoma"/>
            <family val="2"/>
          </rPr>
          <t xml:space="preserve">Informar o preço unitário do litro do óleo hidráulico
</t>
        </r>
      </text>
    </comment>
    <comment ref="C240" authorId="0">
      <text>
        <r>
          <rPr>
            <sz val="9"/>
            <color indexed="81"/>
            <rFont val="Tahoma"/>
            <family val="2"/>
          </rPr>
          <t>Informar o consumo de graxa a cada 1000km</t>
        </r>
      </text>
    </comment>
    <comment ref="D240" authorId="0">
      <text>
        <r>
          <rPr>
            <sz val="9"/>
            <color indexed="81"/>
            <rFont val="Tahoma"/>
            <family val="2"/>
          </rPr>
          <t xml:space="preserve">Informar o preço unitário do litro da graxa
</t>
        </r>
      </text>
    </comment>
    <comment ref="D247" authorId="0">
      <text>
        <r>
          <rPr>
            <sz val="9"/>
            <color indexed="81"/>
            <rFont val="Tahoma"/>
            <family val="2"/>
          </rPr>
          <t xml:space="preserve">Informar o custo de manutenção em R$/km rodado
</t>
        </r>
      </text>
    </comment>
    <comment ref="C252" authorId="0">
      <text>
        <r>
          <rPr>
            <sz val="9"/>
            <color indexed="81"/>
            <rFont val="Tahoma"/>
            <family val="2"/>
          </rPr>
          <t>Informar a quantidade de pneus novos de 1 caminhão</t>
        </r>
      </text>
    </comment>
    <comment ref="D252" authorId="0">
      <text>
        <r>
          <rPr>
            <sz val="9"/>
            <color indexed="81"/>
            <rFont val="Tahoma"/>
            <family val="2"/>
          </rPr>
          <t xml:space="preserve">Informar o preço unitário de cada pneu
</t>
        </r>
      </text>
    </comment>
    <comment ref="C253" authorId="0">
      <text>
        <r>
          <rPr>
            <sz val="9"/>
            <color indexed="81"/>
            <rFont val="Tahoma"/>
            <family val="2"/>
          </rPr>
          <t>Informar o número de recapagens por pneu</t>
        </r>
      </text>
    </comment>
    <comment ref="D254" authorId="0">
      <text>
        <r>
          <rPr>
            <sz val="9"/>
            <color indexed="81"/>
            <rFont val="Tahoma"/>
            <family val="2"/>
          </rPr>
          <t xml:space="preserve">Informar o preço unitário de cada recapagem
</t>
        </r>
      </text>
    </comment>
    <comment ref="C255" authorId="0">
      <text>
        <r>
          <rPr>
            <sz val="9"/>
            <color indexed="81"/>
            <rFont val="Tahoma"/>
            <family val="2"/>
          </rPr>
          <t xml:space="preserve">Informar a durabilidade média dos pneus considerando as recapagens, em km
</t>
        </r>
      </text>
    </comment>
    <comment ref="C265" author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65" author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66" author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66" author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67" author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67" author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68" author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68" author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69" author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69" author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A274" authorId="0">
      <text>
        <r>
          <rPr>
            <b/>
            <sz val="9"/>
            <color indexed="81"/>
            <rFont val="Tahoma"/>
            <family val="2"/>
          </rPr>
          <t>Especificar somente quando for exigido no Projeto Básico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77" authorId="0">
      <text>
        <r>
          <rPr>
            <sz val="9"/>
            <color indexed="81"/>
            <rFont val="Tahoma"/>
            <family val="2"/>
          </rPr>
          <t>Informar o valor total para instalação do equipamento de monitoramento da frota, se houver previsão no Projeto Básico</t>
        </r>
      </text>
    </comment>
    <comment ref="D279" authorId="0">
      <text>
        <r>
          <rPr>
            <sz val="9"/>
            <color indexed="81"/>
            <rFont val="Tahoma"/>
            <family val="2"/>
          </rPr>
          <t>Informar o valor unitário mensal para manutenção dos equipamentos de monitoramento</t>
        </r>
      </text>
    </comment>
    <comment ref="C290" authorId="0">
      <text>
        <r>
          <rPr>
            <sz val="9"/>
            <color indexed="81"/>
            <rFont val="Tahoma"/>
            <family val="2"/>
          </rPr>
          <t>Preencher a aba 4.BDI</t>
        </r>
      </text>
    </comment>
    <comment ref="D299" authorId="0">
      <text>
        <r>
          <rPr>
            <sz val="9"/>
            <color indexed="81"/>
            <rFont val="Tahoma"/>
            <family val="2"/>
          </rPr>
          <t xml:space="preserve">Informar a quantidade média coletada nos últimos 12 meses
</t>
        </r>
      </text>
    </comment>
  </commentList>
</comments>
</file>

<file path=xl/comments3.xml><?xml version="1.0" encoding="utf-8"?>
<comments xmlns="http://schemas.openxmlformats.org/spreadsheetml/2006/main">
  <authors>
    <author>Clauber Bridi</author>
  </authors>
  <commentList>
    <comment ref="C13" authorId="0">
      <text>
        <r>
          <rPr>
            <b/>
            <sz val="9"/>
            <color indexed="81"/>
            <rFont val="Tahoma"/>
            <family val="2"/>
          </rPr>
          <t>Informar o % de Administração Central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>
      <text>
        <r>
          <rPr>
            <b/>
            <sz val="9"/>
            <color indexed="81"/>
            <rFont val="Tahoma"/>
            <family val="2"/>
          </rPr>
          <t>Informar o % de Seguros, Riscos e Garantia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" authorId="0">
      <text>
        <r>
          <rPr>
            <b/>
            <sz val="9"/>
            <color indexed="81"/>
            <rFont val="Tahoma"/>
            <family val="2"/>
          </rPr>
          <t>Informar o % de Lucro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>Informar o valor anual da taxa financeira, em percentual. Admite-se utilizar a SELIC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Informar o percentual de ISS, de acordo com a legislação tributária do município onde serão prestados os serviços. De 2% até o limite de 5%.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Informar a média de dias úteis entre data de pagamento prevista no contrato e a data final do período de adimplemento da parcela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" authorId="0">
      <text>
        <r>
          <rPr>
            <b/>
            <sz val="9"/>
            <color indexed="81"/>
            <rFont val="Tahoma"/>
            <family val="2"/>
          </rPr>
          <t xml:space="preserve">Informar o valor estimado de PIS/COFINS. </t>
        </r>
        <r>
          <rPr>
            <sz val="9"/>
            <color indexed="81"/>
            <rFont val="Tahoma"/>
            <family val="2"/>
          </rPr>
          <t xml:space="preserve">
1. Adotar 0,65% PIS + 3% COFINS quando o valor anual estimado do contrato for inferior ao limite para tributação pelo regime de incidência não-cumulativa (lucro presumido);
2. Adotar 1,65% PIS + 7,6% COFINS quando o valor anual estimado do contrato for superior ao limite para tributação pelo regime de incidência não-cumulativa (lucro real);</t>
        </r>
      </text>
    </comment>
  </commentList>
</comments>
</file>

<file path=xl/comments4.xml><?xml version="1.0" encoding="utf-8"?>
<comments xmlns="http://schemas.openxmlformats.org/spreadsheetml/2006/main">
  <authors>
    <author>cbridi</author>
    <author>Clauber Bridi</author>
    <author>Omar</author>
  </authors>
  <commentList>
    <comment ref="C13" authorId="0">
      <text>
        <r>
          <rPr>
            <sz val="8"/>
            <color indexed="81"/>
            <rFont val="Tahoma"/>
            <family val="2"/>
          </rPr>
          <t>Informar a população do município a ser atendida</t>
        </r>
      </text>
    </comment>
    <comment ref="C14" authorId="1">
      <text>
        <r>
          <rPr>
            <b/>
            <sz val="9"/>
            <color indexed="81"/>
            <rFont val="Tahoma"/>
            <family val="2"/>
          </rPr>
          <t>Caso o município possua informações de pesagem, ajustar com o valor da geração média per capita realizada nos últimos 12 meses</t>
        </r>
      </text>
    </comment>
    <comment ref="C15" authorId="2">
      <text>
        <r>
          <rPr>
            <sz val="9"/>
            <color indexed="81"/>
            <rFont val="Tahoma"/>
            <family val="2"/>
          </rPr>
          <t>retorna a geração diária a ser recolhida</t>
        </r>
      </text>
    </comment>
    <comment ref="C17" authorId="0">
      <text>
        <r>
          <rPr>
            <b/>
            <sz val="8"/>
            <color indexed="81"/>
            <rFont val="Tahoma"/>
            <family val="2"/>
          </rPr>
          <t>Informe o número de dias de coleta por semana</t>
        </r>
      </text>
    </comment>
    <comment ref="C20" authorId="0">
      <text>
        <r>
          <rPr>
            <sz val="8"/>
            <color indexed="81"/>
            <rFont val="Tahoma"/>
            <family val="2"/>
          </rPr>
          <t>Informar 1 para caminhão toco; Informar 2 para caminhão truck</t>
        </r>
        <r>
          <rPr>
            <b/>
            <sz val="8"/>
            <color indexed="81"/>
            <rFont val="Tahoma"/>
            <family val="2"/>
          </rPr>
          <t xml:space="preserve"> </t>
        </r>
      </text>
    </comment>
    <comment ref="C21" authorId="0">
      <text>
        <r>
          <rPr>
            <sz val="8"/>
            <color indexed="81"/>
            <rFont val="Tahoma"/>
            <family val="2"/>
          </rPr>
          <t>Informar a capacidade do compactador em m³</t>
        </r>
      </text>
    </comment>
    <comment ref="C24" authorId="1">
      <text>
        <r>
          <rPr>
            <sz val="8"/>
            <color indexed="81"/>
            <rFont val="Tahoma"/>
            <family val="2"/>
          </rPr>
          <t xml:space="preserve">Informar o número de percursos de coleta (cargas) que cada caminhão realiza por dia, considerando todos os turnos de trabalho. </t>
        </r>
      </text>
    </comment>
  </commentList>
</comments>
</file>

<file path=xl/sharedStrings.xml><?xml version="1.0" encoding="utf-8"?>
<sst xmlns="http://schemas.openxmlformats.org/spreadsheetml/2006/main" count="1394" uniqueCount="484">
  <si>
    <t>hora</t>
  </si>
  <si>
    <t>Adicional de Insalubridade</t>
  </si>
  <si>
    <t>%</t>
  </si>
  <si>
    <t>Soma</t>
  </si>
  <si>
    <t>Encargos Sociais</t>
  </si>
  <si>
    <t>Total do Efetivo</t>
  </si>
  <si>
    <t>homem</t>
  </si>
  <si>
    <t>Adicional Noturno</t>
  </si>
  <si>
    <t>mês</t>
  </si>
  <si>
    <t>vale</t>
  </si>
  <si>
    <t>unidade</t>
  </si>
  <si>
    <t>Colete reflexivo</t>
  </si>
  <si>
    <t>IPVA</t>
  </si>
  <si>
    <t>Seguro contra terceiros</t>
  </si>
  <si>
    <t>Impostos e seguros mensais</t>
  </si>
  <si>
    <t>Custo de óleo diesel / km rodado</t>
  </si>
  <si>
    <t>km/l</t>
  </si>
  <si>
    <t>Custo mensal com óleo diesel</t>
  </si>
  <si>
    <t>km</t>
  </si>
  <si>
    <t>l/1.000 km</t>
  </si>
  <si>
    <t>Custo mensal com óleo do motor</t>
  </si>
  <si>
    <t>Custo mensal com óleo da transmissão</t>
  </si>
  <si>
    <t>Custo mensal com óleo hidráulico</t>
  </si>
  <si>
    <t>Custo de graxa /1.000 km rodados</t>
  </si>
  <si>
    <t>kg/1.000 km</t>
  </si>
  <si>
    <t>Custo mensal com graxa</t>
  </si>
  <si>
    <t>km/jogo</t>
  </si>
  <si>
    <t>toneladas</t>
  </si>
  <si>
    <t>Pá de Concha</t>
  </si>
  <si>
    <t>Vassoura</t>
  </si>
  <si>
    <t>Calça</t>
  </si>
  <si>
    <t>Camiseta</t>
  </si>
  <si>
    <t>Boné</t>
  </si>
  <si>
    <t>Luva de proteção</t>
  </si>
  <si>
    <t>R$/tonelada</t>
  </si>
  <si>
    <t>R$</t>
  </si>
  <si>
    <t>Horas Extras (100%)</t>
  </si>
  <si>
    <t>Horas Extras (50%)</t>
  </si>
  <si>
    <t>Benefícios e despesas indiretas</t>
  </si>
  <si>
    <t>Custo mensal com manutenção</t>
  </si>
  <si>
    <t>Custo (R$/mês)</t>
  </si>
  <si>
    <t>Mão-de-obra</t>
  </si>
  <si>
    <t>Quantidade</t>
  </si>
  <si>
    <t>INSS</t>
  </si>
  <si>
    <t>FGTS</t>
  </si>
  <si>
    <t>Planilha de Composição de Custos</t>
  </si>
  <si>
    <t>Motorista</t>
  </si>
  <si>
    <t>2. Uniformes e Equipamentos de Proteção Individual</t>
  </si>
  <si>
    <t>3.1.1. Depreciação</t>
  </si>
  <si>
    <t>1. Mão-de-obra</t>
  </si>
  <si>
    <t>par</t>
  </si>
  <si>
    <t>frasco 120g</t>
  </si>
  <si>
    <t>Depreciação mensal veículos coletores</t>
  </si>
  <si>
    <t>3.1.3. Impostos e Seguros</t>
  </si>
  <si>
    <t>3.1.4. Consumos</t>
  </si>
  <si>
    <t>3.1.5. Manutenção</t>
  </si>
  <si>
    <t>3. Veículos e Equipamentos</t>
  </si>
  <si>
    <t>Custo mensal com pneus</t>
  </si>
  <si>
    <t>Veículos e Equipamentos</t>
  </si>
  <si>
    <t>cj</t>
  </si>
  <si>
    <t>Total de mão-de-obra (postos de trabalho)</t>
  </si>
  <si>
    <t>Publicidade (adesivos veículos)</t>
  </si>
  <si>
    <t>Custo mensal com implantação</t>
  </si>
  <si>
    <t>3.1.6. Pneus</t>
  </si>
  <si>
    <t>Protetor solar FPS 30</t>
  </si>
  <si>
    <t>Discriminação</t>
  </si>
  <si>
    <t>Unidade</t>
  </si>
  <si>
    <t>Subtotal</t>
  </si>
  <si>
    <r>
      <t xml:space="preserve">Total </t>
    </r>
    <r>
      <rPr>
        <b/>
        <u/>
        <sz val="9"/>
        <rFont val="Arial"/>
        <family val="2"/>
      </rPr>
      <t>(R$)</t>
    </r>
  </si>
  <si>
    <t>Jaqueta com reflexivo (NBR 15.292)</t>
  </si>
  <si>
    <t>Capa de chuva amarela com reflexivo</t>
  </si>
  <si>
    <t>Botina de segurança c/ palmilha aço</t>
  </si>
  <si>
    <t>PREÇO POR TONELADA COLETADA:  [A/B]</t>
  </si>
  <si>
    <t>Custo de recapagem</t>
  </si>
  <si>
    <t>Recipiente térmico para água (5L)</t>
  </si>
  <si>
    <t>Total por Coletor</t>
  </si>
  <si>
    <t>Coletor</t>
  </si>
  <si>
    <t>4. Ferramentas e Materiais de Consumo</t>
  </si>
  <si>
    <t>5. Monitoramento da Frota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</si>
  <si>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</si>
  <si>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</si>
  <si>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</si>
  <si>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</si>
  <si>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</si>
  <si>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</si>
  <si>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</si>
  <si>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</si>
  <si>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Tributos - ISS</t>
  </si>
  <si>
    <t>T</t>
  </si>
  <si>
    <t>Fórmula para o cálculo do BDI:</t>
  </si>
  <si>
    <t>{[(1+AC+SRG) x (1+L) x (1+DF)] / (1-T)} -1</t>
  </si>
  <si>
    <t>Resultado do cálculo do BDI:</t>
  </si>
  <si>
    <t>6. Benefícios e Despesas Indiretas - BDI</t>
  </si>
  <si>
    <t>1.2. Coletor Turno Noite</t>
  </si>
  <si>
    <t>Vale Transporte</t>
  </si>
  <si>
    <t>Dias Trabalhados por mês</t>
  </si>
  <si>
    <t>dia</t>
  </si>
  <si>
    <t>Custo Mensal com Mão-de-obra (R$/mês)</t>
  </si>
  <si>
    <t>Meia de algodão com cano alto</t>
  </si>
  <si>
    <t>Quantitativos</t>
  </si>
  <si>
    <t>horas trabalhadas</t>
  </si>
  <si>
    <t>Horas Extras Noturnas (100%)</t>
  </si>
  <si>
    <t>1.1. Coletor Turno Dia</t>
  </si>
  <si>
    <t>1.3. Motorista Turno do Dia</t>
  </si>
  <si>
    <t>hora contabilizada</t>
  </si>
  <si>
    <t>1.5. Vale Transporte</t>
  </si>
  <si>
    <t>Vida útil do chassis</t>
  </si>
  <si>
    <t>anos</t>
  </si>
  <si>
    <t>Depreciação do chassis</t>
  </si>
  <si>
    <t>Custo de aquisição do chassis</t>
  </si>
  <si>
    <t>i = taxa de juros do mercado (sugere-se adotar a taxa SELIC)</t>
  </si>
  <si>
    <t>n = vida útil do bem em anos</t>
  </si>
  <si>
    <t>Custo do chassis</t>
  </si>
  <si>
    <t>3.1.2. Remuneração do Capital</t>
  </si>
  <si>
    <t>Im = investimento médio</t>
  </si>
  <si>
    <t>Investimento médio total do chassis</t>
  </si>
  <si>
    <t>Remuneração mensal de capital do chassis</t>
  </si>
  <si>
    <t>Custo de manutenção dos caminhões</t>
  </si>
  <si>
    <t>Quilometragem mensal</t>
  </si>
  <si>
    <t>R$/km rodado</t>
  </si>
  <si>
    <t>Número de recapagens por pneu</t>
  </si>
  <si>
    <t>1.6. Vale-refeição (diário)</t>
  </si>
  <si>
    <t>1.7. Auxílio Alimentação (mensal)</t>
  </si>
  <si>
    <t>R$ mensal</t>
  </si>
  <si>
    <t>Admissões</t>
  </si>
  <si>
    <t>Desligamentos</t>
  </si>
  <si>
    <t>Dispensados com justa causa</t>
  </si>
  <si>
    <t>Dispensados sem justa causa</t>
  </si>
  <si>
    <t>Espontâneos</t>
  </si>
  <si>
    <t>Fim de contrato por prazo determinado</t>
  </si>
  <si>
    <t>Término de contrato</t>
  </si>
  <si>
    <t>Aposentados</t>
  </si>
  <si>
    <t>Mortos</t>
  </si>
  <si>
    <t>Transferência de saída</t>
  </si>
  <si>
    <t xml:space="preserve"> </t>
  </si>
  <si>
    <t>Indicadores</t>
  </si>
  <si>
    <t>Dias ano</t>
  </si>
  <si>
    <t>Estoque Médio</t>
  </si>
  <si>
    <t>Multa FGTS</t>
  </si>
  <si>
    <t>Dias de Aviso prévio</t>
  </si>
  <si>
    <t>Código</t>
  </si>
  <si>
    <t>Descrição</t>
  </si>
  <si>
    <t>Valor</t>
  </si>
  <si>
    <t>A1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</si>
  <si>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</si>
  <si>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</si>
  <si>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</si>
  <si>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</si>
  <si>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</si>
  <si>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</si>
  <si>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</si>
  <si>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</si>
  <si>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</si>
  <si>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</si>
  <si>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</si>
  <si>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</si>
  <si>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</si>
  <si>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A</t>
  </si>
  <si>
    <t>SOMA GRUPO A</t>
  </si>
  <si>
    <t>B1</t>
  </si>
  <si>
    <t>Férias gozadas</t>
  </si>
  <si>
    <t>B2</t>
  </si>
  <si>
    <t>13º salário</t>
  </si>
  <si>
    <t>B4</t>
  </si>
  <si>
    <t>Licença Paternidade</t>
  </si>
  <si>
    <t>B5</t>
  </si>
  <si>
    <t>Faltas justificadas</t>
  </si>
  <si>
    <t>B6</t>
  </si>
  <si>
    <t>Auxilio acidente de trabalho</t>
  </si>
  <si>
    <t>Auxilio doença</t>
  </si>
  <si>
    <t>B</t>
  </si>
  <si>
    <t>SOMA GRUPO B</t>
  </si>
  <si>
    <t>C1</t>
  </si>
  <si>
    <t>Aviso prévio indenizado</t>
  </si>
  <si>
    <t>C3</t>
  </si>
  <si>
    <t xml:space="preserve">Férias indenizadas </t>
  </si>
  <si>
    <t>C4</t>
  </si>
  <si>
    <t>Férias indenizadas s/ aviso previo inden.</t>
  </si>
  <si>
    <t>C5</t>
  </si>
  <si>
    <t>Depósito rescisão sem justa causa</t>
  </si>
  <si>
    <t>Indenização adicional</t>
  </si>
  <si>
    <t>C</t>
  </si>
  <si>
    <t>SOMA GRUPO C</t>
  </si>
  <si>
    <t>D1</t>
  </si>
  <si>
    <t>Reincidência de Grupo A sobre Grupo B</t>
  </si>
  <si>
    <t>D2</t>
  </si>
  <si>
    <t>D</t>
  </si>
  <si>
    <t>SOMA GRUPO D</t>
  </si>
  <si>
    <t>SOMA (A+B+C+D)</t>
  </si>
  <si>
    <t>1° Quartil</t>
  </si>
  <si>
    <t>Médio</t>
  </si>
  <si>
    <t>3° Quartil</t>
  </si>
  <si>
    <t>DU</t>
  </si>
  <si>
    <t>Licenciamento e Seguro obrigatório</t>
  </si>
  <si>
    <t>Fator de utilização</t>
  </si>
  <si>
    <t>Fator de utilização (FU)</t>
  </si>
  <si>
    <t>2.1. Uniformes e EPIs para Coletor</t>
  </si>
  <si>
    <t>Higienização de uniformes e EPIs</t>
  </si>
  <si>
    <t>2.2. Uniformes e EPIs para demais categorias</t>
  </si>
  <si>
    <t>Custo Mensal com Uniformes e EPIs (R$/mês)</t>
  </si>
  <si>
    <t>Descrição do Item</t>
  </si>
  <si>
    <t>Orçamento Sintético</t>
  </si>
  <si>
    <t>Orientações para preenchimento:</t>
  </si>
  <si>
    <t>2. Preencher somente células em amarelo</t>
  </si>
  <si>
    <t>Excluir esta linha caso a contratação seja por preço global mensal</t>
  </si>
  <si>
    <t>Rio Grande do Sul  - Coleta de Resíduos Não-Perigosos - CNAE 38114</t>
  </si>
  <si>
    <t xml:space="preserve">1. Acesse o Portal do CAGED no link http://bi.mte.gov.br/cagedestabelecimento/pages/consulta.xhtml </t>
  </si>
  <si>
    <t>3. Nível Geográfico: selecione "Unidade da Federação" e marque a opção "Rio Grande do Sul"</t>
  </si>
  <si>
    <t>4. Nível Setorial: selecione "Classe de atividade econômica segundo a classificação CNAE – versão 2.0 (669 categorias)" e marque a opção "38114 – Coleta de Resíduos Não-Perigosos"</t>
  </si>
  <si>
    <t>5. Clique em Gerar Relatório</t>
  </si>
  <si>
    <t>Para preencher esta planilha siga os passos 1 a 5:</t>
  </si>
  <si>
    <t>Idade do veículo (ano)</t>
  </si>
  <si>
    <t>Idade do veículo</t>
  </si>
  <si>
    <t>Valor do veículo proposto (V0)</t>
  </si>
  <si>
    <t>Valor do compactador proposto (V0)</t>
  </si>
  <si>
    <t>Taxa de juros anual nominal</t>
  </si>
  <si>
    <t>Piso da categoria</t>
  </si>
  <si>
    <t>Base de cálculo da Insalubridade</t>
  </si>
  <si>
    <t>Horas Extras Noturnas (50%)</t>
  </si>
  <si>
    <t>Excluir esta linha caso a contratação não tenha previsão de horas extras explícita no edital</t>
  </si>
  <si>
    <t>Descanso Semanal Remunerado (DSR) - hora extra</t>
  </si>
  <si>
    <t>C2</t>
  </si>
  <si>
    <t>B3</t>
  </si>
  <si>
    <t xml:space="preserve">Quantidade média de resíduos coletados por mês: </t>
  </si>
  <si>
    <t>Custo Mensal com Monitoramento da Frota (R$/mês)</t>
  </si>
  <si>
    <t>Implantação dos equipamentos de monitoramento</t>
  </si>
  <si>
    <t>Manutenção dos equipamentos de monitoramento</t>
  </si>
  <si>
    <t>Custo Mensal com Veículos e Equipamentos (R$/mês)</t>
  </si>
  <si>
    <t>Custo Mensal com Ferramentas e Materiais de Consumo (R$/mês)</t>
  </si>
  <si>
    <t>CUSTO TOTAL MENSAL COM DESPESAS OPERACIONAIS (R$/mês)</t>
  </si>
  <si>
    <t>PREÇO MENSAL TOTAL (R$/mês)</t>
  </si>
  <si>
    <t>3. CAGED</t>
  </si>
  <si>
    <t>4. Composição do BDI - Benefícios e Despesas Indiretas</t>
  </si>
  <si>
    <t xml:space="preserve">2. Composição dos Encargos Sociais </t>
  </si>
  <si>
    <t>5. Depreciação Referencial TCE/RS (%)</t>
  </si>
  <si>
    <r>
      <t>J</t>
    </r>
    <r>
      <rPr>
        <vertAlign val="subscript"/>
        <sz val="12"/>
        <color indexed="8"/>
        <rFont val="Arial"/>
        <family val="2"/>
      </rPr>
      <t>m</t>
    </r>
    <r>
      <rPr>
        <sz val="12"/>
        <color indexed="8"/>
        <rFont val="Arial"/>
        <family val="2"/>
      </rPr>
      <t xml:space="preserve"> = remuneração de capital mensal</t>
    </r>
  </si>
  <si>
    <r>
      <t>V</t>
    </r>
    <r>
      <rPr>
        <vertAlign val="subscript"/>
        <sz val="12"/>
        <color indexed="8"/>
        <rFont val="Arial"/>
        <family val="2"/>
      </rPr>
      <t>0</t>
    </r>
    <r>
      <rPr>
        <sz val="12"/>
        <color indexed="8"/>
        <rFont val="Arial"/>
        <family val="2"/>
      </rPr>
      <t xml:space="preserve"> = valor inicial do bem</t>
    </r>
  </si>
  <si>
    <r>
      <t>V</t>
    </r>
    <r>
      <rPr>
        <vertAlign val="subscript"/>
        <sz val="12"/>
        <color indexed="8"/>
        <rFont val="Arial"/>
        <family val="2"/>
      </rPr>
      <t>r</t>
    </r>
    <r>
      <rPr>
        <sz val="12"/>
        <color indexed="8"/>
        <rFont val="Arial"/>
        <family val="2"/>
      </rPr>
      <t xml:space="preserve"> = valor residual do bem</t>
    </r>
  </si>
  <si>
    <t>6. Remuneração de Capital</t>
  </si>
  <si>
    <t>Custo unitário</t>
  </si>
  <si>
    <t>Custo de óleo do motor /1.000 km rodados</t>
  </si>
  <si>
    <t>Custo de óleo da transmissão /1.000 km</t>
  </si>
  <si>
    <t>Custo de óleo hidráulico / 1.000 km</t>
  </si>
  <si>
    <t>PREÇO TOTAL MENSAL COM A COLETA</t>
  </si>
  <si>
    <t>CUSTO MENSAL COM BDI (R$/mês)</t>
  </si>
  <si>
    <t>CÁLCULO DAS VERBAS INDENIZATÓRIAS DOS EMPREGADOS NO SETOR DE COLETA DE RSU</t>
  </si>
  <si>
    <t>6. Preencha as células em amarelo</t>
  </si>
  <si>
    <t>1/3 de férias (dias)</t>
  </si>
  <si>
    <t>Férias (dias)</t>
  </si>
  <si>
    <t>13º Salário (dias)</t>
  </si>
  <si>
    <t>Referência estudo TCE</t>
  </si>
  <si>
    <t>1. Preencha previamente os dados de entrada na planilha 3.CAGED</t>
  </si>
  <si>
    <t>Rotatividade temporal (meses)</t>
  </si>
  <si>
    <t>1. Esta planilha é somente um modelo-base e deve ser ajustada conforme cada caso concreto.</t>
  </si>
  <si>
    <t>Fórmula de cálculo da remuneração de capital:</t>
  </si>
  <si>
    <t>Excluir esta linha caso a contratação não tenha previsão de horas extras 100% explícita no edital</t>
  </si>
  <si>
    <t>Excluir esta linha caso a contratação não tenha previsão de horas extras noturnas 100% explícita no edital</t>
  </si>
  <si>
    <t>Excluir esta linha caso a contratação não tenha previsão de horas extras 50% explícita no edital</t>
  </si>
  <si>
    <t>Excluir esta linha caso a contratação não tenha previsão de horas extras noturnas 50% explícita no edital</t>
  </si>
  <si>
    <t>Total por Motorista</t>
  </si>
  <si>
    <t>2. Na Especificação da Consulta, selecione "Demonstrativo por período" e informe as competências relativas ao período Inicial e Final (últimos 12 meses)</t>
  </si>
  <si>
    <t>Durabilidade (meses)</t>
  </si>
  <si>
    <t>Custo com consumos/km rodado</t>
  </si>
  <si>
    <t>Consumo</t>
  </si>
  <si>
    <t>Total por veículo</t>
  </si>
  <si>
    <t>Total da frota</t>
  </si>
  <si>
    <t>1. Esta planilha é somente um modelo de cálculo expedito e deve ser ajustada conforme cada caso concreto.</t>
  </si>
  <si>
    <t>Unid</t>
  </si>
  <si>
    <t>hab</t>
  </si>
  <si>
    <t>ton</t>
  </si>
  <si>
    <t>Densidade RSU compactado</t>
  </si>
  <si>
    <t>Kg/m³</t>
  </si>
  <si>
    <t>m³</t>
  </si>
  <si>
    <t>Kg/hab.dia</t>
  </si>
  <si>
    <t>ton/dia</t>
  </si>
  <si>
    <t>População (H)</t>
  </si>
  <si>
    <t>Geração per capita (G)</t>
  </si>
  <si>
    <t>Geração total diária (Qd)</t>
  </si>
  <si>
    <t>Quantitativo diário de coleta (Qc)</t>
  </si>
  <si>
    <t>Número de dias de coleta por semana (Dc)</t>
  </si>
  <si>
    <t>Capacidade nominal de carga (Cc)</t>
  </si>
  <si>
    <t>Número de Cargas por dia (Nc)</t>
  </si>
  <si>
    <t>Número de veículos da Frota (F)</t>
  </si>
  <si>
    <t>Geração Mensal</t>
  </si>
  <si>
    <t>Tipo de Veículo (1 = toco, 2 = truck)</t>
  </si>
  <si>
    <t>Capacidade do Compactador</t>
  </si>
  <si>
    <t>7. Dimensionamento da frota</t>
  </si>
  <si>
    <t>Indicador</t>
  </si>
  <si>
    <t>Número total de percursos de coleta por veículo, por dia (Np)</t>
  </si>
  <si>
    <t>i</t>
  </si>
  <si>
    <t>3. Preencher somente células em amarelo</t>
  </si>
  <si>
    <t>Depreciação Média</t>
  </si>
  <si>
    <t>2. Dimensionar separadamente setores atendidos por veículos de capacidade de carga diferentes.</t>
  </si>
  <si>
    <t xml:space="preserve">1. Esta planilha é somente um modelo-base, devendo ser adaptada para cada caso concreto. </t>
  </si>
  <si>
    <t>Qualquer custo previsto no edital e não contemplado nesta planilha deverá ser devidamente incluído.</t>
  </si>
  <si>
    <t>4. As células azuis deverão ter seus valores preenchidos em outra planilha do arquivo.</t>
  </si>
  <si>
    <t>2. Antes de preenchê-la, leia a Orientação Técnica - Serviço de coleta de resíduos sólidos domiciliares</t>
  </si>
  <si>
    <t>Reincidência de FGTS sobre aviso prévio indenizado</t>
  </si>
  <si>
    <t>O orçamento deve ser realizado por responsável técnico habilitado e é de responsabilidade do seu autor.</t>
  </si>
  <si>
    <t>Piso da categoria (2)</t>
  </si>
  <si>
    <t>Salário mínimo nacional (1)</t>
  </si>
  <si>
    <t>O TCE/RS não se responsabiliza pelo uso incorreto desta planilha.</t>
  </si>
  <si>
    <t>% Demitidos s/ Justa Causa em relação ao Estoque Médio</t>
  </si>
  <si>
    <t>Taxa de Rotatividade</t>
  </si>
  <si>
    <t>Acordo</t>
  </si>
  <si>
    <t>Estoque recuperado início do Período 01-03-2018</t>
  </si>
  <si>
    <t>Estoque recuperado final do Período 28-02-2019</t>
  </si>
  <si>
    <t>Variação Emprego Absoluta de 01-03-2018 a 28-02-2019</t>
  </si>
  <si>
    <t xml:space="preserve">O orçamento deve ser realizado por responsável técnico habilitado e é de </t>
  </si>
  <si>
    <t>responsabilidade do seu autor.</t>
  </si>
  <si>
    <t>realizada nos últimos 12 meses</t>
  </si>
  <si>
    <t xml:space="preserve"> todos os turnos de trabalho.</t>
  </si>
  <si>
    <t>Obs:</t>
  </si>
  <si>
    <t>&gt; Informar a população do município a ser atendida</t>
  </si>
  <si>
    <t xml:space="preserve">&gt; Caso o município possua informações de pesagem, ajustar com o valor da geração média per capita </t>
  </si>
  <si>
    <t>&gt; Informe o número de dias de coleta por semana</t>
  </si>
  <si>
    <t xml:space="preserve">&gt; Informar 1 para caminhão toco; Informar 2 para caminhão truck </t>
  </si>
  <si>
    <t>&gt; Informar a capacidade do compactador em m³</t>
  </si>
  <si>
    <t>&gt; Informar o número de percursos de coleta (cargas) que cada caminhão realiza por dia, considerando</t>
  </si>
  <si>
    <t xml:space="preserve">O orçamento deve ser realizado por responsável técnico habilitado e é </t>
  </si>
  <si>
    <t>de responsabilidade do seu autor.</t>
  </si>
  <si>
    <t xml:space="preserve">O orçamento deve ser realizado por responsável técnico habilitado e </t>
  </si>
  <si>
    <t>é de responsabilidade do seu autor.</t>
  </si>
  <si>
    <t>Valores R$</t>
  </si>
  <si>
    <t xml:space="preserve">Ordem </t>
  </si>
  <si>
    <t>Obs: Salário do motorista conforme Convenção Coletiva (Sinecarga 2018/2019)</t>
  </si>
  <si>
    <t xml:space="preserve">Nr. Func. </t>
  </si>
  <si>
    <t xml:space="preserve">Cargo </t>
  </si>
  <si>
    <t xml:space="preserve">Dias </t>
  </si>
  <si>
    <t xml:space="preserve">Entrada </t>
  </si>
  <si>
    <t>Saída</t>
  </si>
  <si>
    <t>Total Horas</t>
  </si>
  <si>
    <t xml:space="preserve">Total de horas por coletor </t>
  </si>
  <si>
    <t xml:space="preserve">Total de dias por semana </t>
  </si>
  <si>
    <t xml:space="preserve">Total de horas por semana </t>
  </si>
  <si>
    <t xml:space="preserve">Dias úteis semana </t>
  </si>
  <si>
    <t>Total de dias com (DSR) Descanso Semanal Remunerado</t>
  </si>
  <si>
    <t>Total de horas/dia com (DSR)</t>
  </si>
  <si>
    <t xml:space="preserve">Total de dias no mês (30 dias) </t>
  </si>
  <si>
    <t>Total geral de horas mês com (DSR)</t>
  </si>
  <si>
    <t xml:space="preserve">Total de horas por motorista </t>
  </si>
  <si>
    <t>Total geral de horas base mês com (DSR)</t>
  </si>
  <si>
    <t xml:space="preserve">Fator de utilização </t>
  </si>
  <si>
    <t>Planilha com os horários dos funcionários coleta de lixo orgânica e seletiva</t>
  </si>
  <si>
    <t>Distância</t>
  </si>
  <si>
    <t>Und.</t>
  </si>
  <si>
    <t>Cor Linha</t>
  </si>
  <si>
    <t>Ponto a Ponto</t>
  </si>
  <si>
    <t>m</t>
  </si>
  <si>
    <t>Trecho 01</t>
  </si>
  <si>
    <t>1 - 2</t>
  </si>
  <si>
    <t>Trecho 02</t>
  </si>
  <si>
    <t>2 - 3</t>
  </si>
  <si>
    <t>Trecho 03</t>
  </si>
  <si>
    <t>3 - 4</t>
  </si>
  <si>
    <t>Trecho 04</t>
  </si>
  <si>
    <t>4 - 5</t>
  </si>
  <si>
    <t>Trecho 05</t>
  </si>
  <si>
    <t>5 - 6</t>
  </si>
  <si>
    <t>Trecho 06</t>
  </si>
  <si>
    <t>6 - 7</t>
  </si>
  <si>
    <t>Trecho 07</t>
  </si>
  <si>
    <t>7 - 8</t>
  </si>
  <si>
    <t>Trecho 08</t>
  </si>
  <si>
    <t>Trecho 09</t>
  </si>
  <si>
    <t>Trecho 10</t>
  </si>
  <si>
    <t>Trecho 11</t>
  </si>
  <si>
    <t>Trecho 12</t>
  </si>
  <si>
    <t>Trecho 13</t>
  </si>
  <si>
    <t>Trecho 14</t>
  </si>
  <si>
    <t>Trecho 15</t>
  </si>
  <si>
    <t>Distância total da Rota:</t>
  </si>
  <si>
    <t>Custo do baú</t>
  </si>
  <si>
    <t>Investimento médio total do baú</t>
  </si>
  <si>
    <t>Remuneração mensal de capital do baú</t>
  </si>
  <si>
    <t xml:space="preserve">Total Geral toneladas ano </t>
  </si>
  <si>
    <t xml:space="preserve">Ton/Mês </t>
  </si>
  <si>
    <t>Dias da semana</t>
  </si>
  <si>
    <t>Nu. Coleta Semanal</t>
  </si>
  <si>
    <t>Trecho</t>
  </si>
  <si>
    <t>x</t>
  </si>
  <si>
    <t>Total Semanal</t>
  </si>
  <si>
    <t>Km</t>
  </si>
  <si>
    <t>Total Mensal</t>
  </si>
  <si>
    <t>8 - 9</t>
  </si>
  <si>
    <t>9 - 10</t>
  </si>
  <si>
    <t>10 - 11</t>
  </si>
  <si>
    <t>11 - 12</t>
  </si>
  <si>
    <t>12 - 13</t>
  </si>
  <si>
    <t>13 - 14</t>
  </si>
  <si>
    <t>14 - 15</t>
  </si>
  <si>
    <t>Trecho de Trasporte</t>
  </si>
  <si>
    <t>Distância total sem coleta:</t>
  </si>
  <si>
    <t>Distância total do percurso :</t>
  </si>
  <si>
    <t>Coletor Orgânico</t>
  </si>
  <si>
    <t>Coletor Seletivo</t>
  </si>
  <si>
    <t>Motorista Orgânico</t>
  </si>
  <si>
    <t xml:space="preserve">Motorista Seletivo </t>
  </si>
  <si>
    <t xml:space="preserve">Cargo: Coletor de lixo orgânico </t>
  </si>
  <si>
    <t xml:space="preserve">Cargo: Motorista da coleta do lixo orgânico </t>
  </si>
  <si>
    <t>Custo do jogo de pneus 275/22,5 R80</t>
  </si>
  <si>
    <t>Tributos - PIS/COFINS/ e CPP se houver</t>
  </si>
  <si>
    <t>Obs: Salário R$1.676,60 - Considerado a inflação IPCA dos últimos 12 meses 3,89% = (R$1.741,82)</t>
  </si>
  <si>
    <t>3.1. Veículo Coletor com compactador</t>
  </si>
  <si>
    <t>Custo de aquisição do compactador</t>
  </si>
  <si>
    <t>Idade do chassis</t>
  </si>
  <si>
    <t>Depreciação mensal do chassis</t>
  </si>
  <si>
    <t xml:space="preserve">1. Coleta de Resíduos Sólidos </t>
  </si>
  <si>
    <t>1.4. Encarregado/Supervisor</t>
  </si>
  <si>
    <t>Encarregado</t>
  </si>
  <si>
    <t xml:space="preserve">Resumo Custo Edital do Lixo </t>
  </si>
  <si>
    <t xml:space="preserve">Descrição </t>
  </si>
  <si>
    <t>Valor R$</t>
  </si>
  <si>
    <t>IPCA</t>
  </si>
  <si>
    <t>Valor Atual</t>
  </si>
  <si>
    <t xml:space="preserve">PO Separado </t>
  </si>
  <si>
    <t xml:space="preserve">Diferença </t>
  </si>
  <si>
    <t>Coleta Orgânica</t>
  </si>
  <si>
    <t>Coleta Seletiva</t>
  </si>
  <si>
    <t>Total Geral</t>
  </si>
  <si>
    <t xml:space="preserve">Toneladas Total </t>
  </si>
  <si>
    <t>Custo R$/Ton</t>
  </si>
  <si>
    <t>Resumo</t>
  </si>
  <si>
    <t xml:space="preserve">Admin. </t>
  </si>
  <si>
    <t>Encargos Soc.</t>
  </si>
  <si>
    <t xml:space="preserve">Total % </t>
  </si>
  <si>
    <t>Total Margem</t>
  </si>
  <si>
    <t xml:space="preserve">Transporte </t>
  </si>
  <si>
    <t xml:space="preserve">Destino Final </t>
  </si>
  <si>
    <t xml:space="preserve">Prefeitura Municipal de Tucunduva </t>
  </si>
  <si>
    <t>Locais de coleta:  Área urbana da cidade</t>
  </si>
  <si>
    <t>Distância da Rota + Aterro</t>
  </si>
  <si>
    <t>Rota 1: Segunda e sexta</t>
  </si>
  <si>
    <t>Rota 2: Quarta</t>
  </si>
  <si>
    <t>12 - Fim</t>
  </si>
  <si>
    <t>15 - Fim</t>
  </si>
  <si>
    <t>Aterro Sanitário - Início da rota</t>
  </si>
  <si>
    <t>Final da rota - Aterro Sanitário</t>
  </si>
  <si>
    <t>Periodicidade: Segunda, quarta e sexta</t>
  </si>
  <si>
    <t>Segunda e sexta</t>
  </si>
  <si>
    <t xml:space="preserve">Quarta feira </t>
  </si>
  <si>
    <t>Terças</t>
  </si>
  <si>
    <t>Segunda, quarta  e sexta</t>
  </si>
  <si>
    <t xml:space="preserve">Considerado 4 horas semanais.  </t>
  </si>
  <si>
    <t xml:space="preserve">Lavagem do caminhão compactador </t>
  </si>
  <si>
    <t xml:space="preserve">Unid. </t>
  </si>
  <si>
    <t>Tolenadas de lixo coletados em Tucunduva</t>
  </si>
  <si>
    <t xml:space="preserve">Mês </t>
  </si>
  <si>
    <t>Toneladas coletadas e enviadas ao aterro sanitário</t>
  </si>
  <si>
    <t xml:space="preserve">Total de meses no período </t>
  </si>
  <si>
    <t xml:space="preserve">Média mensal dos últimos meses </t>
  </si>
  <si>
    <t xml:space="preserve">Rota 1  - Coleta de Resíduos Domiciliares - Orgânicos </t>
  </si>
  <si>
    <t>Motorista aterro</t>
  </si>
  <si>
    <t xml:space="preserve">Terça-feira </t>
  </si>
  <si>
    <t xml:space="preserve">Obs: Considerado 2 horas semanais.  </t>
  </si>
  <si>
    <t xml:space="preserve">4. Ferramentas e Materiais de Consumo e Lavagem </t>
  </si>
  <si>
    <t>Custo Mensal com Ferramentas, Materiais de Consumo e Lavagem (R$/mês)</t>
  </si>
  <si>
    <t>Última quinta do mês</t>
  </si>
  <si>
    <t>Coletor interior</t>
  </si>
  <si>
    <t>Motorista interior</t>
  </si>
  <si>
    <t xml:space="preserve">Cargo: Coletor de lixo seletivo e interior </t>
  </si>
  <si>
    <t>Cargo: Motorista da coleta do lixo seletivo e interior</t>
  </si>
  <si>
    <t xml:space="preserve">  Total dos percursos  Orgânico</t>
  </si>
  <si>
    <t xml:space="preserve">  Total dos percursos  Seletivos </t>
  </si>
  <si>
    <t>Rota 2: Terça</t>
  </si>
  <si>
    <t>Fonte: Prefeitura Municipal de Tucunduva - (out/2019)</t>
  </si>
  <si>
    <t>Custo de aditivo Arla/ 1.000 km</t>
  </si>
  <si>
    <t>Custo mensal com aditivo Arla 32</t>
  </si>
  <si>
    <t>Custo de aquisição do compactador/baú</t>
  </si>
  <si>
    <t>Investimento médio total do compactador/baú</t>
  </si>
  <si>
    <t>Prefeitura Municipal de Tucunduva</t>
  </si>
  <si>
    <t>PREFEITURA MUNICIPAL DE TUCUNDUVA</t>
  </si>
  <si>
    <t>Período: (outubro de 2018 à setembro de 2019)</t>
  </si>
  <si>
    <t>1. Coleta de Resíduos Seletivos</t>
  </si>
  <si>
    <t>Locais de coleta:   Interior da cidade</t>
  </si>
  <si>
    <t>Distância da Rota + Centro</t>
  </si>
  <si>
    <t>Trecho de Transporte</t>
  </si>
  <si>
    <t>Centro de Triagem - Início da rota</t>
  </si>
  <si>
    <t>Final da rota - Centro de Triagem</t>
  </si>
  <si>
    <t>Rota 3  - Coleta de Resíduos Domiciliares - Seletivos Interior</t>
  </si>
  <si>
    <t>Rota 3: última quinta</t>
  </si>
  <si>
    <t>Locais de coleta:  Cidade + Esquina Tucunduva + Ponte Pratos (Quarta Orgânico e Terça Seletivo)</t>
  </si>
  <si>
    <t>Rota 2  - Coleta de Resíduos Domiciliares - Orgânicos e Seletivos</t>
  </si>
  <si>
    <r>
      <t>Custo jg. compl. + 2</t>
    </r>
    <r>
      <rPr>
        <sz val="10"/>
        <rFont val="Arial"/>
        <family val="2"/>
      </rPr>
      <t xml:space="preserve"> recap./ km rodado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</si>
</sst>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 &quot;#,##0.00_);\(&quot;R$ &quot;#,##0.00\)"/>
    <numFmt numFmtId="165" formatCode="_(* #,##0.00_);_(* \(#,##0.00\);_(* &quot;-&quot;??_);_(@_)"/>
    <numFmt numFmtId="166" formatCode="_(* #,##0_);_(* \(#,##0\);_(* &quot;-&quot;??_);_(@_)"/>
    <numFmt numFmtId="167" formatCode="_(* #,##0.000_);_(* \(#,##0.000\);_(* &quot;-&quot;??_);_(@_)"/>
    <numFmt numFmtId="168" formatCode="&quot;R$ &quot;#,##0.00"/>
    <numFmt numFmtId="169" formatCode="0.0000"/>
    <numFmt numFmtId="170" formatCode="_-* #,##0.000_-;\-* #,##0.000_-;_-* &quot;-&quot;??_-;_-@_-"/>
    <numFmt numFmtId="171" formatCode="_-* #,##0.00_-;\-* #,##0.00_-;_-* &quot;-&quot;?_-;_-@_-"/>
    <numFmt numFmtId="172" formatCode="_-* #,##0_-;\-* #,##0_-;_-* &quot;-&quot;?_-;_-@_-"/>
    <numFmt numFmtId="173" formatCode="_-* #,##0_-;\-* #,##0_-;_-* &quot;-&quot;??_-;_-@_-"/>
    <numFmt numFmtId="174" formatCode="_-* #,##0.0_-;\-* #,##0.0_-;_-* &quot;-&quot;??_-;_-@_-"/>
    <numFmt numFmtId="175" formatCode="_ * #,##0.00_ ;_ * \-#,##0.00_ ;_ * &quot;-&quot;??_ ;_ @_ "/>
    <numFmt numFmtId="176" formatCode="_(* #,##0.0000_);_(* \(#,##0.0000\);_(* &quot;-&quot;??_);_(@_)"/>
    <numFmt numFmtId="177" formatCode="0.0"/>
    <numFmt numFmtId="178" formatCode="#,##0.00;[Red]#,##0.00"/>
    <numFmt numFmtId="179" formatCode="0.000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vertAlign val="subscript"/>
      <sz val="12"/>
      <color indexed="8"/>
      <name val="Arial"/>
      <family val="2"/>
    </font>
    <font>
      <sz val="12"/>
      <color indexed="8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3"/>
      <color theme="1"/>
      <name val="Arial"/>
      <family val="2"/>
    </font>
    <font>
      <sz val="10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6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4" fontId="10" fillId="0" borderId="0" applyFont="0" applyFill="0" applyBorder="0" applyAlignment="0" applyProtection="0"/>
    <xf numFmtId="174" fontId="42" fillId="0" borderId="0" applyFont="0" applyFill="0" applyBorder="0" applyAlignment="0" applyProtection="0"/>
    <xf numFmtId="0" fontId="9" fillId="0" borderId="0"/>
    <xf numFmtId="0" fontId="10" fillId="0" borderId="0"/>
    <xf numFmtId="0" fontId="42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42" fillId="0" borderId="0" applyFont="0" applyFill="0" applyBorder="0" applyAlignment="0" applyProtection="0"/>
    <xf numFmtId="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0" fillId="0" borderId="0" applyFont="0" applyFill="0" applyBorder="0" applyAlignment="0" applyProtection="0"/>
    <xf numFmtId="0" fontId="8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506">
    <xf numFmtId="0" fontId="0" fillId="0" borderId="0" xfId="0"/>
    <xf numFmtId="0" fontId="15" fillId="0" borderId="0" xfId="0" applyFont="1"/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165" fontId="0" fillId="0" borderId="0" xfId="3" applyFont="1" applyAlignment="1">
      <alignment vertical="center"/>
    </xf>
    <xf numFmtId="0" fontId="10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65" fontId="15" fillId="0" borderId="0" xfId="3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5" fillId="0" borderId="2" xfId="0" applyFont="1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165" fontId="15" fillId="0" borderId="2" xfId="3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165" fontId="15" fillId="0" borderId="1" xfId="3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65" fontId="15" fillId="0" borderId="0" xfId="3" applyFont="1" applyAlignment="1">
      <alignment horizontal="center" vertical="center"/>
    </xf>
    <xf numFmtId="165" fontId="12" fillId="2" borderId="4" xfId="3" applyFont="1" applyFill="1" applyBorder="1" applyAlignment="1">
      <alignment horizontal="center" vertical="center"/>
    </xf>
    <xf numFmtId="165" fontId="12" fillId="2" borderId="4" xfId="3" applyFont="1" applyFill="1" applyBorder="1" applyAlignment="1">
      <alignment vertical="center"/>
    </xf>
    <xf numFmtId="165" fontId="12" fillId="0" borderId="0" xfId="3" applyFont="1" applyFill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165" fontId="12" fillId="0" borderId="6" xfId="3" applyFont="1" applyBorder="1" applyAlignment="1">
      <alignment vertical="center"/>
    </xf>
    <xf numFmtId="165" fontId="12" fillId="0" borderId="7" xfId="3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165" fontId="15" fillId="0" borderId="6" xfId="3" applyFont="1" applyBorder="1" applyAlignment="1">
      <alignment vertical="center"/>
    </xf>
    <xf numFmtId="165" fontId="15" fillId="0" borderId="7" xfId="3" applyFont="1" applyBorder="1" applyAlignment="1">
      <alignment vertical="center"/>
    </xf>
    <xf numFmtId="165" fontId="12" fillId="0" borderId="0" xfId="3" applyFont="1" applyBorder="1" applyAlignment="1">
      <alignment horizontal="center" vertical="center"/>
    </xf>
    <xf numFmtId="3" fontId="15" fillId="0" borderId="0" xfId="0" applyNumberFormat="1" applyFont="1" applyAlignment="1">
      <alignment vertical="center"/>
    </xf>
    <xf numFmtId="165" fontId="12" fillId="0" borderId="0" xfId="3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165" fontId="12" fillId="0" borderId="0" xfId="3" applyFont="1" applyBorder="1" applyAlignment="1">
      <alignment vertical="center"/>
    </xf>
    <xf numFmtId="165" fontId="14" fillId="0" borderId="0" xfId="3" applyFont="1" applyAlignment="1">
      <alignment vertical="center"/>
    </xf>
    <xf numFmtId="166" fontId="15" fillId="0" borderId="1" xfId="3" applyNumberFormat="1" applyFont="1" applyBorder="1" applyAlignment="1">
      <alignment vertical="center"/>
    </xf>
    <xf numFmtId="165" fontId="15" fillId="0" borderId="0" xfId="3" applyFont="1"/>
    <xf numFmtId="165" fontId="13" fillId="0" borderId="0" xfId="3" applyFont="1" applyAlignment="1">
      <alignment vertical="center"/>
    </xf>
    <xf numFmtId="165" fontId="0" fillId="0" borderId="11" xfId="3" applyFont="1" applyBorder="1" applyAlignment="1">
      <alignment vertical="center"/>
    </xf>
    <xf numFmtId="165" fontId="12" fillId="0" borderId="12" xfId="3" applyFont="1" applyBorder="1" applyAlignment="1">
      <alignment horizontal="center" vertical="center"/>
    </xf>
    <xf numFmtId="165" fontId="12" fillId="0" borderId="5" xfId="3" applyFont="1" applyBorder="1" applyAlignment="1">
      <alignment horizontal="left" vertical="center"/>
    </xf>
    <xf numFmtId="4" fontId="12" fillId="0" borderId="6" xfId="0" applyNumberFormat="1" applyFont="1" applyBorder="1" applyAlignment="1">
      <alignment horizontal="centerContinuous" vertical="center"/>
    </xf>
    <xf numFmtId="165" fontId="12" fillId="0" borderId="0" xfId="3" applyFont="1" applyAlignment="1">
      <alignment vertical="center"/>
    </xf>
    <xf numFmtId="165" fontId="0" fillId="0" borderId="9" xfId="0" applyNumberFormat="1" applyBorder="1" applyAlignment="1">
      <alignment vertical="center"/>
    </xf>
    <xf numFmtId="4" fontId="0" fillId="0" borderId="9" xfId="0" applyNumberFormat="1" applyBorder="1" applyAlignment="1">
      <alignment horizontal="centerContinuous" vertical="center"/>
    </xf>
    <xf numFmtId="165" fontId="0" fillId="0" borderId="9" xfId="3" applyFont="1" applyBorder="1" applyAlignment="1">
      <alignment vertical="center"/>
    </xf>
    <xf numFmtId="165" fontId="12" fillId="0" borderId="13" xfId="3" applyFont="1" applyBorder="1" applyAlignment="1">
      <alignment horizontal="right" vertical="center"/>
    </xf>
    <xf numFmtId="165" fontId="0" fillId="0" borderId="14" xfId="3" applyFont="1" applyBorder="1" applyAlignment="1">
      <alignment vertical="center"/>
    </xf>
    <xf numFmtId="165" fontId="15" fillId="0" borderId="1" xfId="3" applyFont="1" applyBorder="1" applyAlignment="1">
      <alignment vertical="center"/>
    </xf>
    <xf numFmtId="0" fontId="20" fillId="0" borderId="0" xfId="0" applyFont="1" applyAlignment="1">
      <alignment vertical="center"/>
    </xf>
    <xf numFmtId="0" fontId="15" fillId="0" borderId="0" xfId="0" applyFont="1" applyFill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165" fontId="15" fillId="0" borderId="0" xfId="3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165" fontId="13" fillId="0" borderId="0" xfId="3" applyFont="1" applyBorder="1" applyAlignment="1">
      <alignment vertical="center"/>
    </xf>
    <xf numFmtId="10" fontId="0" fillId="0" borderId="15" xfId="2" applyNumberFormat="1" applyFont="1" applyBorder="1" applyAlignment="1">
      <alignment vertical="center"/>
    </xf>
    <xf numFmtId="165" fontId="15" fillId="0" borderId="0" xfId="3" applyFont="1" applyBorder="1" applyAlignment="1">
      <alignment vertical="center"/>
    </xf>
    <xf numFmtId="0" fontId="22" fillId="2" borderId="16" xfId="0" applyFont="1" applyFill="1" applyBorder="1" applyAlignment="1">
      <alignment horizontal="center" vertical="center"/>
    </xf>
    <xf numFmtId="0" fontId="22" fillId="2" borderId="17" xfId="0" applyFont="1" applyFill="1" applyBorder="1" applyAlignment="1">
      <alignment horizontal="center" vertical="center"/>
    </xf>
    <xf numFmtId="165" fontId="22" fillId="2" borderId="17" xfId="3" applyFont="1" applyFill="1" applyBorder="1" applyAlignment="1">
      <alignment horizontal="center" vertical="center"/>
    </xf>
    <xf numFmtId="165" fontId="22" fillId="2" borderId="18" xfId="3" applyFont="1" applyFill="1" applyBorder="1" applyAlignment="1">
      <alignment horizontal="center" vertical="center"/>
    </xf>
    <xf numFmtId="165" fontId="12" fillId="0" borderId="19" xfId="3" applyFont="1" applyBorder="1" applyAlignment="1">
      <alignment horizontal="center" vertical="center"/>
    </xf>
    <xf numFmtId="165" fontId="10" fillId="0" borderId="14" xfId="3" applyFont="1" applyBorder="1" applyAlignment="1">
      <alignment horizontal="left" vertical="center"/>
    </xf>
    <xf numFmtId="165" fontId="15" fillId="0" borderId="9" xfId="3" applyFont="1" applyBorder="1" applyAlignment="1">
      <alignment vertical="center"/>
    </xf>
    <xf numFmtId="165" fontId="15" fillId="0" borderId="14" xfId="3" applyFont="1" applyBorder="1" applyAlignment="1">
      <alignment vertical="center"/>
    </xf>
    <xf numFmtId="166" fontId="15" fillId="0" borderId="0" xfId="3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1" fontId="15" fillId="0" borderId="20" xfId="3" applyNumberFormat="1" applyFont="1" applyBorder="1" applyAlignment="1">
      <alignment horizontal="center" vertical="center"/>
    </xf>
    <xf numFmtId="165" fontId="12" fillId="0" borderId="28" xfId="3" applyFont="1" applyBorder="1" applyAlignment="1">
      <alignment vertical="center"/>
    </xf>
    <xf numFmtId="4" fontId="12" fillId="0" borderId="29" xfId="0" applyNumberFormat="1" applyFont="1" applyBorder="1" applyAlignment="1">
      <alignment vertical="center"/>
    </xf>
    <xf numFmtId="165" fontId="15" fillId="0" borderId="19" xfId="3" applyFont="1" applyBorder="1" applyAlignment="1">
      <alignment vertical="center"/>
    </xf>
    <xf numFmtId="165" fontId="15" fillId="0" borderId="11" xfId="3" applyFont="1" applyBorder="1" applyAlignment="1">
      <alignment vertical="center"/>
    </xf>
    <xf numFmtId="0" fontId="0" fillId="0" borderId="11" xfId="0" applyBorder="1" applyAlignment="1">
      <alignment vertical="center"/>
    </xf>
    <xf numFmtId="1" fontId="15" fillId="0" borderId="12" xfId="3" applyNumberFormat="1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29" xfId="0" applyBorder="1" applyAlignment="1">
      <alignment vertical="center"/>
    </xf>
    <xf numFmtId="1" fontId="12" fillId="0" borderId="31" xfId="3" applyNumberFormat="1" applyFont="1" applyBorder="1" applyAlignment="1">
      <alignment horizontal="center" vertical="center"/>
    </xf>
    <xf numFmtId="165" fontId="21" fillId="0" borderId="1" xfId="3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165" fontId="12" fillId="2" borderId="4" xfId="3" applyNumberFormat="1" applyFont="1" applyFill="1" applyBorder="1" applyAlignment="1">
      <alignment horizontal="center" vertical="center"/>
    </xf>
    <xf numFmtId="165" fontId="15" fillId="0" borderId="1" xfId="3" applyFont="1" applyFill="1" applyBorder="1" applyAlignment="1">
      <alignment horizontal="center" vertical="center"/>
    </xf>
    <xf numFmtId="165" fontId="20" fillId="0" borderId="0" xfId="3" applyFont="1" applyAlignment="1">
      <alignment vertical="center"/>
    </xf>
    <xf numFmtId="43" fontId="15" fillId="0" borderId="0" xfId="0" applyNumberFormat="1" applyFont="1" applyAlignment="1">
      <alignment vertical="center"/>
    </xf>
    <xf numFmtId="0" fontId="15" fillId="3" borderId="1" xfId="0" applyFont="1" applyFill="1" applyBorder="1" applyAlignment="1">
      <alignment horizontal="center" vertical="center"/>
    </xf>
    <xf numFmtId="165" fontId="15" fillId="3" borderId="2" xfId="3" applyFont="1" applyFill="1" applyBorder="1" applyAlignment="1">
      <alignment horizontal="center" vertical="center"/>
    </xf>
    <xf numFmtId="2" fontId="15" fillId="3" borderId="1" xfId="0" applyNumberFormat="1" applyFont="1" applyFill="1" applyBorder="1" applyAlignment="1">
      <alignment horizontal="center" vertical="center"/>
    </xf>
    <xf numFmtId="165" fontId="15" fillId="3" borderId="1" xfId="3" applyFont="1" applyFill="1" applyBorder="1" applyAlignment="1">
      <alignment horizontal="center" vertical="center"/>
    </xf>
    <xf numFmtId="1" fontId="15" fillId="3" borderId="1" xfId="0" applyNumberFormat="1" applyFont="1" applyFill="1" applyBorder="1" applyAlignment="1">
      <alignment horizontal="center" vertical="center"/>
    </xf>
    <xf numFmtId="0" fontId="15" fillId="3" borderId="0" xfId="0" applyFont="1" applyFill="1" applyAlignment="1">
      <alignment vertical="center"/>
    </xf>
    <xf numFmtId="165" fontId="15" fillId="3" borderId="0" xfId="3" applyFont="1" applyFill="1" applyAlignment="1">
      <alignment vertical="center"/>
    </xf>
    <xf numFmtId="0" fontId="15" fillId="0" borderId="0" xfId="0" applyFont="1" applyAlignment="1">
      <alignment horizontal="right" vertical="center"/>
    </xf>
    <xf numFmtId="166" fontId="15" fillId="0" borderId="1" xfId="3" applyNumberFormat="1" applyFont="1" applyBorder="1" applyAlignment="1">
      <alignment horizontal="center" vertical="center"/>
    </xf>
    <xf numFmtId="165" fontId="15" fillId="3" borderId="1" xfId="3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4" fontId="15" fillId="3" borderId="2" xfId="0" applyNumberFormat="1" applyFont="1" applyFill="1" applyBorder="1" applyAlignment="1">
      <alignment horizontal="center" vertical="center"/>
    </xf>
    <xf numFmtId="167" fontId="15" fillId="3" borderId="2" xfId="3" applyNumberFormat="1" applyFont="1" applyFill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center" vertical="center"/>
    </xf>
    <xf numFmtId="13" fontId="15" fillId="3" borderId="1" xfId="0" applyNumberFormat="1" applyFont="1" applyFill="1" applyBorder="1" applyAlignment="1">
      <alignment horizontal="center" vertical="center"/>
    </xf>
    <xf numFmtId="166" fontId="15" fillId="0" borderId="1" xfId="3" applyNumberFormat="1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165" fontId="12" fillId="0" borderId="1" xfId="3" applyFont="1" applyBorder="1" applyAlignment="1">
      <alignment horizontal="center" vertical="center"/>
    </xf>
    <xf numFmtId="165" fontId="15" fillId="0" borderId="2" xfId="3" applyFont="1" applyFill="1" applyBorder="1" applyAlignment="1">
      <alignment horizontal="center" vertical="center"/>
    </xf>
    <xf numFmtId="0" fontId="17" fillId="0" borderId="0" xfId="1" applyAlignment="1" applyProtection="1">
      <alignment vertical="center"/>
    </xf>
    <xf numFmtId="0" fontId="12" fillId="0" borderId="0" xfId="0" applyFont="1"/>
    <xf numFmtId="0" fontId="22" fillId="2" borderId="32" xfId="0" applyFont="1" applyFill="1" applyBorder="1" applyAlignment="1">
      <alignment horizontal="center" vertical="center"/>
    </xf>
    <xf numFmtId="0" fontId="22" fillId="2" borderId="33" xfId="0" applyFont="1" applyFill="1" applyBorder="1" applyAlignment="1">
      <alignment horizontal="center" vertical="center"/>
    </xf>
    <xf numFmtId="165" fontId="22" fillId="2" borderId="33" xfId="3" applyFont="1" applyFill="1" applyBorder="1" applyAlignment="1">
      <alignment horizontal="center" vertical="center"/>
    </xf>
    <xf numFmtId="165" fontId="15" fillId="0" borderId="0" xfId="3" applyFont="1" applyFill="1" applyAlignment="1">
      <alignment vertical="center"/>
    </xf>
    <xf numFmtId="165" fontId="12" fillId="0" borderId="1" xfId="3" applyFont="1" applyFill="1" applyBorder="1" applyAlignment="1">
      <alignment horizontal="center" vertical="center"/>
    </xf>
    <xf numFmtId="164" fontId="12" fillId="0" borderId="34" xfId="0" applyNumberFormat="1" applyFont="1" applyBorder="1" applyAlignment="1">
      <alignment vertical="center"/>
    </xf>
    <xf numFmtId="165" fontId="12" fillId="0" borderId="35" xfId="3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165" fontId="12" fillId="0" borderId="0" xfId="3" applyFont="1" applyAlignment="1">
      <alignment horizontal="center" vertical="center"/>
    </xf>
    <xf numFmtId="165" fontId="12" fillId="0" borderId="3" xfId="3" applyFont="1" applyBorder="1" applyAlignment="1">
      <alignment horizontal="center" vertical="center"/>
    </xf>
    <xf numFmtId="2" fontId="15" fillId="0" borderId="1" xfId="3" applyNumberFormat="1" applyFont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15" fillId="0" borderId="0" xfId="3" applyFont="1" applyAlignment="1">
      <alignment horizontal="right" vertical="center"/>
    </xf>
    <xf numFmtId="165" fontId="12" fillId="2" borderId="7" xfId="3" applyFont="1" applyFill="1" applyBorder="1" applyAlignment="1">
      <alignment horizontal="center" vertical="center"/>
    </xf>
    <xf numFmtId="165" fontId="12" fillId="0" borderId="14" xfId="3" applyFont="1" applyBorder="1" applyAlignment="1">
      <alignment vertical="center"/>
    </xf>
    <xf numFmtId="165" fontId="12" fillId="0" borderId="9" xfId="0" applyNumberFormat="1" applyFont="1" applyBorder="1" applyAlignment="1">
      <alignment vertical="center"/>
    </xf>
    <xf numFmtId="165" fontId="12" fillId="0" borderId="9" xfId="3" applyFont="1" applyBorder="1" applyAlignment="1">
      <alignment vertical="center"/>
    </xf>
    <xf numFmtId="10" fontId="12" fillId="0" borderId="15" xfId="2" applyNumberFormat="1" applyFont="1" applyBorder="1" applyAlignment="1">
      <alignment vertical="center"/>
    </xf>
    <xf numFmtId="165" fontId="12" fillId="0" borderId="38" xfId="3" applyFont="1" applyBorder="1" applyAlignment="1">
      <alignment vertical="center"/>
    </xf>
    <xf numFmtId="4" fontId="12" fillId="0" borderId="0" xfId="0" applyNumberFormat="1" applyFont="1" applyBorder="1" applyAlignment="1">
      <alignment vertical="center"/>
    </xf>
    <xf numFmtId="165" fontId="15" fillId="0" borderId="39" xfId="3" applyFont="1" applyBorder="1" applyAlignment="1">
      <alignment vertical="center"/>
    </xf>
    <xf numFmtId="165" fontId="15" fillId="0" borderId="40" xfId="3" applyFont="1" applyBorder="1" applyAlignment="1">
      <alignment vertical="center"/>
    </xf>
    <xf numFmtId="165" fontId="15" fillId="0" borderId="41" xfId="3" applyFont="1" applyBorder="1" applyAlignment="1">
      <alignment vertical="center"/>
    </xf>
    <xf numFmtId="0" fontId="15" fillId="0" borderId="41" xfId="0" applyFont="1" applyBorder="1" applyAlignment="1">
      <alignment vertical="center"/>
    </xf>
    <xf numFmtId="1" fontId="15" fillId="0" borderId="37" xfId="3" applyNumberFormat="1" applyFont="1" applyBorder="1" applyAlignment="1">
      <alignment horizontal="center" vertical="center"/>
    </xf>
    <xf numFmtId="165" fontId="12" fillId="0" borderId="14" xfId="3" applyFont="1" applyBorder="1" applyAlignment="1">
      <alignment horizontal="left" vertical="center"/>
    </xf>
    <xf numFmtId="4" fontId="12" fillId="0" borderId="9" xfId="0" applyNumberFormat="1" applyFont="1" applyBorder="1" applyAlignment="1">
      <alignment horizontal="centerContinuous" vertical="center"/>
    </xf>
    <xf numFmtId="0" fontId="10" fillId="0" borderId="0" xfId="0" applyFont="1" applyBorder="1" applyAlignment="1">
      <alignment vertical="center"/>
    </xf>
    <xf numFmtId="4" fontId="0" fillId="0" borderId="0" xfId="0" applyNumberForma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5" fontId="15" fillId="6" borderId="1" xfId="3" applyFont="1" applyFill="1" applyBorder="1" applyAlignment="1">
      <alignment horizontal="center" vertical="center"/>
    </xf>
    <xf numFmtId="165" fontId="15" fillId="6" borderId="1" xfId="3" applyFont="1" applyFill="1" applyBorder="1" applyAlignment="1">
      <alignment vertical="center"/>
    </xf>
    <xf numFmtId="9" fontId="12" fillId="0" borderId="18" xfId="2" applyFont="1" applyBorder="1" applyAlignment="1">
      <alignment vertical="center"/>
    </xf>
    <xf numFmtId="10" fontId="15" fillId="0" borderId="15" xfId="2" applyNumberFormat="1" applyFont="1" applyBorder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165" fontId="15" fillId="0" borderId="1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vertical="center"/>
    </xf>
    <xf numFmtId="0" fontId="0" fillId="0" borderId="38" xfId="0" applyFill="1" applyBorder="1" applyAlignment="1">
      <alignment vertical="center"/>
    </xf>
    <xf numFmtId="4" fontId="0" fillId="0" borderId="0" xfId="0" applyNumberFormat="1" applyFill="1" applyBorder="1" applyAlignment="1">
      <alignment vertical="center"/>
    </xf>
    <xf numFmtId="165" fontId="0" fillId="0" borderId="0" xfId="3" applyFont="1" applyFill="1" applyBorder="1" applyAlignment="1">
      <alignment vertical="center"/>
    </xf>
    <xf numFmtId="165" fontId="0" fillId="0" borderId="39" xfId="3" applyFont="1" applyFill="1" applyBorder="1" applyAlignment="1">
      <alignment vertical="center"/>
    </xf>
    <xf numFmtId="0" fontId="15" fillId="0" borderId="1" xfId="0" applyNumberFormat="1" applyFont="1" applyBorder="1" applyAlignment="1">
      <alignment horizontal="center" vertical="center"/>
    </xf>
    <xf numFmtId="166" fontId="12" fillId="0" borderId="0" xfId="3" applyNumberFormat="1" applyFont="1" applyBorder="1" applyAlignment="1">
      <alignment horizontal="center" vertical="center"/>
    </xf>
    <xf numFmtId="0" fontId="27" fillId="0" borderId="14" xfId="0" applyFont="1" applyBorder="1"/>
    <xf numFmtId="0" fontId="15" fillId="0" borderId="0" xfId="0" applyFont="1" applyBorder="1"/>
    <xf numFmtId="0" fontId="27" fillId="0" borderId="47" xfId="0" applyFont="1" applyBorder="1"/>
    <xf numFmtId="0" fontId="27" fillId="3" borderId="20" xfId="0" applyFont="1" applyFill="1" applyBorder="1"/>
    <xf numFmtId="0" fontId="27" fillId="0" borderId="23" xfId="0" applyFont="1" applyBorder="1"/>
    <xf numFmtId="0" fontId="27" fillId="0" borderId="48" xfId="0" applyFont="1" applyBorder="1"/>
    <xf numFmtId="0" fontId="27" fillId="0" borderId="20" xfId="0" applyFont="1" applyBorder="1"/>
    <xf numFmtId="0" fontId="27" fillId="0" borderId="28" xfId="0" applyFont="1" applyBorder="1"/>
    <xf numFmtId="2" fontId="28" fillId="7" borderId="1" xfId="0" applyNumberFormat="1" applyFont="1" applyFill="1" applyBorder="1" applyAlignment="1">
      <alignment horizontal="right" vertical="center"/>
    </xf>
    <xf numFmtId="0" fontId="28" fillId="0" borderId="23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2" fontId="28" fillId="7" borderId="36" xfId="0" applyNumberFormat="1" applyFont="1" applyFill="1" applyBorder="1" applyAlignment="1">
      <alignment horizontal="right" vertical="center"/>
    </xf>
    <xf numFmtId="0" fontId="28" fillId="0" borderId="23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28" fillId="0" borderId="20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10" fontId="28" fillId="0" borderId="20" xfId="0" applyNumberFormat="1" applyFont="1" applyBorder="1" applyAlignment="1">
      <alignment horizontal="right" vertical="center"/>
    </xf>
    <xf numFmtId="0" fontId="28" fillId="0" borderId="0" xfId="0" applyFont="1" applyFill="1" applyBorder="1" applyAlignment="1">
      <alignment horizontal="left" vertical="center"/>
    </xf>
    <xf numFmtId="0" fontId="32" fillId="0" borderId="1" xfId="0" applyFont="1" applyBorder="1" applyAlignment="1">
      <alignment horizontal="left" vertical="center"/>
    </xf>
    <xf numFmtId="10" fontId="32" fillId="0" borderId="20" xfId="0" applyNumberFormat="1" applyFont="1" applyBorder="1" applyAlignment="1">
      <alignment horizontal="right" vertical="center"/>
    </xf>
    <xf numFmtId="0" fontId="28" fillId="5" borderId="23" xfId="0" applyFont="1" applyFill="1" applyBorder="1" applyAlignment="1">
      <alignment horizontal="left" vertical="center"/>
    </xf>
    <xf numFmtId="0" fontId="32" fillId="5" borderId="1" xfId="0" applyFont="1" applyFill="1" applyBorder="1" applyAlignment="1">
      <alignment horizontal="left" vertical="center"/>
    </xf>
    <xf numFmtId="10" fontId="32" fillId="5" borderId="20" xfId="0" applyNumberFormat="1" applyFont="1" applyFill="1" applyBorder="1" applyAlignment="1">
      <alignment horizontal="right" vertical="center"/>
    </xf>
    <xf numFmtId="0" fontId="33" fillId="0" borderId="1" xfId="0" applyFont="1" applyBorder="1" applyAlignment="1">
      <alignment horizontal="left" vertical="center"/>
    </xf>
    <xf numFmtId="0" fontId="34" fillId="0" borderId="0" xfId="0" applyFont="1" applyFill="1" applyBorder="1" applyAlignment="1">
      <alignment horizontal="left" vertical="center"/>
    </xf>
    <xf numFmtId="10" fontId="15" fillId="0" borderId="0" xfId="0" applyNumberFormat="1" applyFont="1"/>
    <xf numFmtId="9" fontId="28" fillId="0" borderId="0" xfId="2" applyFont="1" applyBorder="1" applyAlignment="1">
      <alignment horizontal="right" vertical="center"/>
    </xf>
    <xf numFmtId="10" fontId="15" fillId="0" borderId="0" xfId="0" applyNumberFormat="1" applyFont="1" applyBorder="1"/>
    <xf numFmtId="0" fontId="28" fillId="0" borderId="1" xfId="0" applyFont="1" applyBorder="1" applyAlignment="1">
      <alignment horizontal="left" vertical="center" wrapText="1"/>
    </xf>
    <xf numFmtId="0" fontId="34" fillId="0" borderId="0" xfId="0" applyFont="1" applyBorder="1" applyAlignment="1">
      <alignment horizontal="left" vertical="center"/>
    </xf>
    <xf numFmtId="0" fontId="28" fillId="9" borderId="24" xfId="0" applyFont="1" applyFill="1" applyBorder="1" applyAlignment="1">
      <alignment horizontal="left" vertical="center"/>
    </xf>
    <xf numFmtId="0" fontId="32" fillId="9" borderId="36" xfId="0" applyFont="1" applyFill="1" applyBorder="1" applyAlignment="1">
      <alignment horizontal="left" vertical="center"/>
    </xf>
    <xf numFmtId="10" fontId="32" fillId="9" borderId="37" xfId="0" applyNumberFormat="1" applyFont="1" applyFill="1" applyBorder="1" applyAlignment="1">
      <alignment horizontal="right" vertical="center"/>
    </xf>
    <xf numFmtId="0" fontId="32" fillId="0" borderId="0" xfId="0" applyFont="1" applyFill="1" applyBorder="1" applyAlignment="1">
      <alignment horizontal="left" vertical="center"/>
    </xf>
    <xf numFmtId="10" fontId="32" fillId="0" borderId="0" xfId="0" applyNumberFormat="1" applyFont="1" applyFill="1" applyBorder="1" applyAlignment="1">
      <alignment horizontal="right" vertical="center"/>
    </xf>
    <xf numFmtId="0" fontId="34" fillId="4" borderId="0" xfId="0" applyFont="1" applyFill="1" applyBorder="1" applyAlignment="1">
      <alignment horizontal="left" vertical="center"/>
    </xf>
    <xf numFmtId="10" fontId="28" fillId="0" borderId="0" xfId="0" applyNumberFormat="1" applyFont="1" applyFill="1" applyBorder="1" applyAlignment="1">
      <alignment horizontal="right" vertical="center"/>
    </xf>
    <xf numFmtId="0" fontId="28" fillId="4" borderId="0" xfId="0" applyFont="1" applyFill="1" applyBorder="1" applyAlignment="1">
      <alignment horizontal="left" vertical="center"/>
    </xf>
    <xf numFmtId="10" fontId="28" fillId="0" borderId="0" xfId="0" applyNumberFormat="1" applyFont="1" applyBorder="1" applyAlignment="1">
      <alignment horizontal="right" vertical="center"/>
    </xf>
    <xf numFmtId="0" fontId="32" fillId="0" borderId="0" xfId="0" applyFont="1" applyBorder="1" applyAlignment="1">
      <alignment horizontal="left" vertical="center"/>
    </xf>
    <xf numFmtId="10" fontId="32" fillId="0" borderId="0" xfId="0" applyNumberFormat="1" applyFont="1" applyBorder="1" applyAlignment="1">
      <alignment horizontal="right" vertical="center"/>
    </xf>
    <xf numFmtId="0" fontId="35" fillId="0" borderId="0" xfId="0" applyFont="1" applyBorder="1" applyAlignment="1">
      <alignment horizontal="justify" vertical="center"/>
    </xf>
    <xf numFmtId="0" fontId="17" fillId="0" borderId="0" xfId="1" applyFont="1" applyBorder="1" applyAlignment="1" applyProtection="1">
      <alignment horizontal="left" vertical="center"/>
    </xf>
    <xf numFmtId="0" fontId="36" fillId="0" borderId="0" xfId="0" applyFont="1" applyBorder="1"/>
    <xf numFmtId="0" fontId="28" fillId="0" borderId="0" xfId="0" applyFont="1" applyBorder="1" applyAlignment="1">
      <alignment horizontal="right" vertical="center"/>
    </xf>
    <xf numFmtId="0" fontId="17" fillId="0" borderId="0" xfId="1" applyFont="1" applyBorder="1" applyAlignment="1" applyProtection="1">
      <alignment vertical="center"/>
    </xf>
    <xf numFmtId="0" fontId="14" fillId="0" borderId="15" xfId="0" applyFont="1" applyBorder="1"/>
    <xf numFmtId="0" fontId="14" fillId="0" borderId="23" xfId="0" applyFont="1" applyBorder="1"/>
    <xf numFmtId="0" fontId="14" fillId="3" borderId="20" xfId="0" applyFont="1" applyFill="1" applyBorder="1"/>
    <xf numFmtId="0" fontId="14" fillId="0" borderId="47" xfId="0" applyFont="1" applyBorder="1"/>
    <xf numFmtId="0" fontId="14" fillId="3" borderId="48" xfId="0" applyFont="1" applyFill="1" applyBorder="1"/>
    <xf numFmtId="0" fontId="14" fillId="0" borderId="49" xfId="0" applyFont="1" applyBorder="1"/>
    <xf numFmtId="0" fontId="14" fillId="3" borderId="50" xfId="0" applyFont="1" applyFill="1" applyBorder="1"/>
    <xf numFmtId="0" fontId="14" fillId="0" borderId="38" xfId="0" applyFont="1" applyBorder="1"/>
    <xf numFmtId="0" fontId="14" fillId="0" borderId="39" xfId="0" applyFont="1" applyBorder="1"/>
    <xf numFmtId="0" fontId="16" fillId="0" borderId="48" xfId="0" applyFont="1" applyBorder="1"/>
    <xf numFmtId="0" fontId="16" fillId="0" borderId="38" xfId="0" applyFont="1" applyFill="1" applyBorder="1" applyAlignment="1">
      <alignment horizontal="left" vertical="center"/>
    </xf>
    <xf numFmtId="0" fontId="14" fillId="0" borderId="0" xfId="0" applyFont="1" applyBorder="1"/>
    <xf numFmtId="9" fontId="14" fillId="0" borderId="23" xfId="2" applyFont="1" applyBorder="1"/>
    <xf numFmtId="9" fontId="14" fillId="0" borderId="1" xfId="2" applyFont="1" applyBorder="1" applyAlignment="1">
      <alignment horizontal="center"/>
    </xf>
    <xf numFmtId="9" fontId="14" fillId="0" borderId="20" xfId="2" applyFont="1" applyBorder="1"/>
    <xf numFmtId="0" fontId="14" fillId="0" borderId="21" xfId="0" applyFont="1" applyFill="1" applyBorder="1" applyAlignment="1">
      <alignment horizontal="left" vertical="center"/>
    </xf>
    <xf numFmtId="0" fontId="14" fillId="0" borderId="22" xfId="0" applyFont="1" applyFill="1" applyBorder="1" applyAlignment="1">
      <alignment horizontal="center" vertical="center"/>
    </xf>
    <xf numFmtId="10" fontId="14" fillId="3" borderId="12" xfId="0" applyNumberFormat="1" applyFont="1" applyFill="1" applyBorder="1" applyAlignment="1">
      <alignment horizontal="center" vertical="center"/>
    </xf>
    <xf numFmtId="10" fontId="14" fillId="0" borderId="20" xfId="2" applyNumberFormat="1" applyFont="1" applyBorder="1"/>
    <xf numFmtId="0" fontId="14" fillId="0" borderId="23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10" fontId="14" fillId="3" borderId="20" xfId="0" applyNumberFormat="1" applyFont="1" applyFill="1" applyBorder="1" applyAlignment="1">
      <alignment horizontal="center" vertical="center"/>
    </xf>
    <xf numFmtId="10" fontId="14" fillId="0" borderId="20" xfId="0" applyNumberFormat="1" applyFont="1" applyFill="1" applyBorder="1" applyAlignment="1">
      <alignment horizontal="center" vertical="center"/>
    </xf>
    <xf numFmtId="10" fontId="14" fillId="3" borderId="1" xfId="2" applyNumberFormat="1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4" fillId="0" borderId="20" xfId="0" applyFont="1" applyBorder="1"/>
    <xf numFmtId="0" fontId="14" fillId="0" borderId="24" xfId="0" applyFont="1" applyFill="1" applyBorder="1" applyAlignment="1">
      <alignment horizontal="left" vertical="center"/>
    </xf>
    <xf numFmtId="10" fontId="14" fillId="3" borderId="37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25" xfId="0" applyFont="1" applyFill="1" applyBorder="1" applyAlignment="1">
      <alignment vertical="center"/>
    </xf>
    <xf numFmtId="0" fontId="14" fillId="0" borderId="26" xfId="0" applyFont="1" applyFill="1" applyBorder="1" applyAlignment="1">
      <alignment vertical="center"/>
    </xf>
    <xf numFmtId="10" fontId="14" fillId="0" borderId="27" xfId="0" applyNumberFormat="1" applyFont="1" applyFill="1" applyBorder="1" applyAlignment="1">
      <alignment vertical="center"/>
    </xf>
    <xf numFmtId="0" fontId="14" fillId="0" borderId="28" xfId="0" applyFont="1" applyFill="1" applyBorder="1" applyAlignment="1">
      <alignment horizontal="left" vertical="center"/>
    </xf>
    <xf numFmtId="0" fontId="14" fillId="0" borderId="29" xfId="0" applyFont="1" applyFill="1" applyBorder="1" applyAlignment="1">
      <alignment horizontal="left" vertical="center"/>
    </xf>
    <xf numFmtId="0" fontId="14" fillId="0" borderId="30" xfId="0" applyFont="1" applyFill="1" applyBorder="1" applyAlignment="1">
      <alignment vertical="center"/>
    </xf>
    <xf numFmtId="0" fontId="16" fillId="5" borderId="5" xfId="0" applyFont="1" applyFill="1" applyBorder="1" applyAlignment="1">
      <alignment vertical="center" wrapText="1"/>
    </xf>
    <xf numFmtId="0" fontId="14" fillId="5" borderId="6" xfId="0" applyFont="1" applyFill="1" applyBorder="1" applyAlignment="1">
      <alignment vertical="center"/>
    </xf>
    <xf numFmtId="10" fontId="16" fillId="5" borderId="7" xfId="0" applyNumberFormat="1" applyFont="1" applyFill="1" applyBorder="1" applyAlignment="1">
      <alignment horizontal="center" vertical="center" wrapText="1"/>
    </xf>
    <xf numFmtId="10" fontId="14" fillId="0" borderId="23" xfId="2" applyNumberFormat="1" applyFont="1" applyBorder="1" applyAlignment="1">
      <alignment horizontal="right"/>
    </xf>
    <xf numFmtId="10" fontId="14" fillId="0" borderId="1" xfId="2" applyNumberFormat="1" applyFont="1" applyBorder="1" applyAlignment="1">
      <alignment horizontal="right"/>
    </xf>
    <xf numFmtId="10" fontId="14" fillId="0" borderId="20" xfId="2" applyNumberFormat="1" applyFont="1" applyBorder="1" applyAlignment="1">
      <alignment horizontal="right"/>
    </xf>
    <xf numFmtId="10" fontId="14" fillId="0" borderId="24" xfId="2" applyNumberFormat="1" applyFont="1" applyBorder="1" applyAlignment="1">
      <alignment horizontal="right"/>
    </xf>
    <xf numFmtId="10" fontId="14" fillId="0" borderId="36" xfId="2" applyNumberFormat="1" applyFont="1" applyBorder="1" applyAlignment="1">
      <alignment horizontal="right"/>
    </xf>
    <xf numFmtId="10" fontId="14" fillId="0" borderId="37" xfId="2" applyNumberFormat="1" applyFont="1" applyBorder="1" applyAlignment="1">
      <alignment horizontal="right"/>
    </xf>
    <xf numFmtId="0" fontId="15" fillId="0" borderId="52" xfId="0" applyFont="1" applyBorder="1"/>
    <xf numFmtId="0" fontId="29" fillId="0" borderId="52" xfId="0" applyFont="1" applyBorder="1" applyAlignment="1">
      <alignment horizontal="justify"/>
    </xf>
    <xf numFmtId="0" fontId="29" fillId="0" borderId="53" xfId="0" applyFont="1" applyBorder="1" applyAlignment="1">
      <alignment horizontal="justify"/>
    </xf>
    <xf numFmtId="0" fontId="26" fillId="10" borderId="51" xfId="0" applyFont="1" applyFill="1" applyBorder="1" applyAlignment="1">
      <alignment horizontal="center"/>
    </xf>
    <xf numFmtId="1" fontId="15" fillId="0" borderId="0" xfId="3" applyNumberFormat="1" applyFont="1" applyBorder="1" applyAlignment="1">
      <alignment horizontal="center" vertical="center"/>
    </xf>
    <xf numFmtId="0" fontId="15" fillId="0" borderId="8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165" fontId="15" fillId="3" borderId="9" xfId="3" applyNumberFormat="1" applyFont="1" applyFill="1" applyBorder="1" applyAlignment="1">
      <alignment vertical="center"/>
    </xf>
    <xf numFmtId="165" fontId="15" fillId="0" borderId="10" xfId="3" applyFont="1" applyBorder="1" applyAlignment="1">
      <alignment vertical="center"/>
    </xf>
    <xf numFmtId="165" fontId="12" fillId="0" borderId="7" xfId="3" applyFont="1" applyBorder="1" applyAlignment="1">
      <alignment horizontal="right" vertical="center"/>
    </xf>
    <xf numFmtId="165" fontId="12" fillId="2" borderId="4" xfId="3" applyFont="1" applyFill="1" applyBorder="1" applyAlignment="1">
      <alignment horizontal="right" vertical="center"/>
    </xf>
    <xf numFmtId="168" fontId="12" fillId="0" borderId="1" xfId="0" applyNumberFormat="1" applyFont="1" applyBorder="1" applyAlignment="1">
      <alignment vertical="center"/>
    </xf>
    <xf numFmtId="168" fontId="0" fillId="0" borderId="1" xfId="0" applyNumberFormat="1" applyBorder="1" applyAlignment="1">
      <alignment vertical="center"/>
    </xf>
    <xf numFmtId="168" fontId="12" fillId="0" borderId="36" xfId="0" applyNumberFormat="1" applyFont="1" applyBorder="1" applyAlignment="1">
      <alignment vertical="center"/>
    </xf>
    <xf numFmtId="165" fontId="12" fillId="0" borderId="11" xfId="3" applyFont="1" applyBorder="1" applyAlignment="1">
      <alignment vertical="center"/>
    </xf>
    <xf numFmtId="165" fontId="12" fillId="0" borderId="5" xfId="3" applyFont="1" applyBorder="1" applyAlignment="1">
      <alignment vertical="center"/>
    </xf>
    <xf numFmtId="0" fontId="13" fillId="0" borderId="38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39" xfId="0" applyFont="1" applyFill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7" borderId="1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165" fontId="12" fillId="0" borderId="9" xfId="3" applyFont="1" applyBorder="1" applyAlignment="1">
      <alignment horizontal="center" vertical="center"/>
    </xf>
    <xf numFmtId="0" fontId="22" fillId="2" borderId="17" xfId="0" applyFont="1" applyFill="1" applyBorder="1" applyAlignment="1">
      <alignment horizontal="center" vertical="center" wrapText="1"/>
    </xf>
    <xf numFmtId="167" fontId="15" fillId="0" borderId="1" xfId="3" applyNumberFormat="1" applyFont="1" applyBorder="1" applyAlignment="1">
      <alignment horizontal="center" vertical="center"/>
    </xf>
    <xf numFmtId="166" fontId="12" fillId="0" borderId="1" xfId="3" applyNumberFormat="1" applyFont="1" applyBorder="1" applyAlignment="1">
      <alignment horizontal="center" vertical="center"/>
    </xf>
    <xf numFmtId="167" fontId="12" fillId="0" borderId="1" xfId="3" applyNumberFormat="1" applyFont="1" applyBorder="1" applyAlignment="1">
      <alignment horizontal="center" vertical="center"/>
    </xf>
    <xf numFmtId="167" fontId="15" fillId="0" borderId="2" xfId="3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0" fillId="0" borderId="0" xfId="0" applyFont="1"/>
    <xf numFmtId="0" fontId="12" fillId="0" borderId="54" xfId="0" applyFont="1" applyBorder="1" applyAlignment="1">
      <alignment vertical="center"/>
    </xf>
    <xf numFmtId="0" fontId="12" fillId="0" borderId="54" xfId="0" applyFont="1" applyBorder="1" applyAlignment="1">
      <alignment horizontal="center" vertical="center"/>
    </xf>
    <xf numFmtId="165" fontId="12" fillId="0" borderId="54" xfId="3" applyFont="1" applyBorder="1" applyAlignment="1">
      <alignment horizontal="center" vertical="center"/>
    </xf>
    <xf numFmtId="165" fontId="12" fillId="0" borderId="54" xfId="3" applyFont="1" applyFill="1" applyBorder="1" applyAlignment="1">
      <alignment horizontal="center" vertical="center"/>
    </xf>
    <xf numFmtId="4" fontId="10" fillId="0" borderId="0" xfId="0" applyNumberFormat="1" applyFont="1" applyBorder="1" applyAlignment="1">
      <alignment vertical="center"/>
    </xf>
    <xf numFmtId="0" fontId="10" fillId="0" borderId="0" xfId="0" applyFont="1" applyFill="1"/>
    <xf numFmtId="0" fontId="16" fillId="0" borderId="23" xfId="0" applyFont="1" applyBorder="1"/>
    <xf numFmtId="0" fontId="16" fillId="0" borderId="1" xfId="0" applyFont="1" applyBorder="1"/>
    <xf numFmtId="0" fontId="16" fillId="0" borderId="20" xfId="0" applyFont="1" applyBorder="1"/>
    <xf numFmtId="0" fontId="14" fillId="0" borderId="23" xfId="0" applyFont="1" applyFill="1" applyBorder="1"/>
    <xf numFmtId="0" fontId="14" fillId="0" borderId="1" xfId="0" applyFont="1" applyFill="1" applyBorder="1"/>
    <xf numFmtId="0" fontId="14" fillId="0" borderId="1" xfId="0" applyFont="1" applyBorder="1"/>
    <xf numFmtId="170" fontId="33" fillId="0" borderId="20" xfId="3" applyNumberFormat="1" applyFont="1" applyBorder="1" applyAlignment="1">
      <alignment horizontal="center" vertical="center" wrapText="1"/>
    </xf>
    <xf numFmtId="171" fontId="14" fillId="0" borderId="20" xfId="0" applyNumberFormat="1" applyFont="1" applyBorder="1"/>
    <xf numFmtId="2" fontId="14" fillId="0" borderId="20" xfId="0" applyNumberFormat="1" applyFont="1" applyBorder="1"/>
    <xf numFmtId="0" fontId="14" fillId="0" borderId="24" xfId="0" applyFont="1" applyFill="1" applyBorder="1"/>
    <xf numFmtId="0" fontId="14" fillId="0" borderId="36" xfId="0" applyFont="1" applyBorder="1"/>
    <xf numFmtId="171" fontId="14" fillId="3" borderId="20" xfId="0" applyNumberFormat="1" applyFont="1" applyFill="1" applyBorder="1"/>
    <xf numFmtId="171" fontId="14" fillId="0" borderId="37" xfId="0" applyNumberFormat="1" applyFont="1" applyBorder="1"/>
    <xf numFmtId="0" fontId="26" fillId="0" borderId="1" xfId="0" applyFont="1" applyFill="1" applyBorder="1" applyAlignment="1">
      <alignment horizontal="center"/>
    </xf>
    <xf numFmtId="0" fontId="26" fillId="0" borderId="23" xfId="0" applyFont="1" applyFill="1" applyBorder="1" applyAlignment="1">
      <alignment horizontal="center"/>
    </xf>
    <xf numFmtId="0" fontId="26" fillId="0" borderId="20" xfId="0" applyFont="1" applyFill="1" applyBorder="1" applyAlignment="1">
      <alignment horizontal="center"/>
    </xf>
    <xf numFmtId="172" fontId="14" fillId="3" borderId="20" xfId="0" applyNumberFormat="1" applyFont="1" applyFill="1" applyBorder="1"/>
    <xf numFmtId="0" fontId="14" fillId="0" borderId="23" xfId="0" applyFont="1" applyBorder="1" applyAlignment="1">
      <alignment horizontal="right"/>
    </xf>
    <xf numFmtId="0" fontId="13" fillId="0" borderId="0" xfId="0" applyFont="1" applyAlignment="1">
      <alignment vertical="center"/>
    </xf>
    <xf numFmtId="4" fontId="40" fillId="0" borderId="0" xfId="0" applyNumberFormat="1" applyFont="1" applyBorder="1" applyAlignment="1">
      <alignment vertical="center"/>
    </xf>
    <xf numFmtId="4" fontId="41" fillId="0" borderId="0" xfId="0" applyNumberFormat="1" applyFont="1" applyBorder="1" applyAlignment="1">
      <alignment vertical="center"/>
    </xf>
    <xf numFmtId="0" fontId="14" fillId="0" borderId="20" xfId="0" applyFont="1" applyFill="1" applyBorder="1"/>
    <xf numFmtId="0" fontId="39" fillId="0" borderId="0" xfId="0" applyFont="1"/>
    <xf numFmtId="0" fontId="10" fillId="0" borderId="2" xfId="0" applyFont="1" applyBorder="1" applyAlignment="1">
      <alignment vertical="center"/>
    </xf>
    <xf numFmtId="169" fontId="16" fillId="0" borderId="20" xfId="0" applyNumberFormat="1" applyFont="1" applyBorder="1"/>
    <xf numFmtId="9" fontId="27" fillId="0" borderId="20" xfId="2" applyFont="1" applyBorder="1"/>
    <xf numFmtId="10" fontId="27" fillId="0" borderId="20" xfId="2" applyNumberFormat="1" applyFont="1" applyBorder="1"/>
    <xf numFmtId="9" fontId="16" fillId="0" borderId="31" xfId="2" applyFont="1" applyBorder="1"/>
    <xf numFmtId="0" fontId="14" fillId="0" borderId="55" xfId="0" applyFont="1" applyBorder="1"/>
    <xf numFmtId="0" fontId="14" fillId="0" borderId="0" xfId="0" applyFont="1" applyFill="1" applyBorder="1"/>
    <xf numFmtId="171" fontId="14" fillId="0" borderId="0" xfId="0" applyNumberFormat="1" applyFont="1" applyBorder="1"/>
    <xf numFmtId="0" fontId="43" fillId="0" borderId="0" xfId="4" applyFont="1"/>
    <xf numFmtId="0" fontId="9" fillId="0" borderId="0" xfId="4"/>
    <xf numFmtId="0" fontId="9" fillId="0" borderId="1" xfId="4" applyFont="1" applyBorder="1"/>
    <xf numFmtId="0" fontId="43" fillId="0" borderId="1" xfId="4" applyFont="1" applyBorder="1" applyAlignment="1">
      <alignment horizontal="center"/>
    </xf>
    <xf numFmtId="0" fontId="9" fillId="0" borderId="1" xfId="4" applyBorder="1"/>
    <xf numFmtId="0" fontId="9" fillId="0" borderId="1" xfId="4" applyBorder="1" applyAlignment="1">
      <alignment horizontal="center"/>
    </xf>
    <xf numFmtId="17" fontId="9" fillId="0" borderId="1" xfId="4" applyNumberFormat="1" applyBorder="1" applyAlignment="1">
      <alignment horizontal="center"/>
    </xf>
    <xf numFmtId="173" fontId="0" fillId="0" borderId="1" xfId="5" applyNumberFormat="1" applyFont="1" applyBorder="1" applyAlignment="1">
      <alignment horizontal="center"/>
    </xf>
    <xf numFmtId="43" fontId="9" fillId="0" borderId="0" xfId="4" applyNumberFormat="1"/>
    <xf numFmtId="43" fontId="0" fillId="0" borderId="0" xfId="5" applyFont="1"/>
    <xf numFmtId="165" fontId="9" fillId="0" borderId="0" xfId="3" applyFont="1"/>
    <xf numFmtId="165" fontId="10" fillId="3" borderId="2" xfId="3" applyFont="1" applyFill="1" applyBorder="1" applyAlignment="1">
      <alignment horizontal="center" vertical="center"/>
    </xf>
    <xf numFmtId="10" fontId="12" fillId="3" borderId="7" xfId="2" applyNumberFormat="1" applyFont="1" applyFill="1" applyBorder="1" applyAlignment="1">
      <alignment vertical="center"/>
    </xf>
    <xf numFmtId="176" fontId="15" fillId="0" borderId="1" xfId="3" applyNumberFormat="1" applyFont="1" applyBorder="1" applyAlignment="1">
      <alignment vertical="center"/>
    </xf>
    <xf numFmtId="0" fontId="43" fillId="0" borderId="0" xfId="25" applyFont="1"/>
    <xf numFmtId="0" fontId="8" fillId="0" borderId="0" xfId="25"/>
    <xf numFmtId="0" fontId="43" fillId="0" borderId="1" xfId="25" applyFont="1" applyBorder="1"/>
    <xf numFmtId="0" fontId="43" fillId="0" borderId="1" xfId="25" applyFont="1" applyBorder="1" applyAlignment="1">
      <alignment horizontal="center"/>
    </xf>
    <xf numFmtId="20" fontId="43" fillId="0" borderId="1" xfId="25" applyNumberFormat="1" applyFont="1" applyBorder="1"/>
    <xf numFmtId="0" fontId="8" fillId="0" borderId="8" xfId="25" applyBorder="1"/>
    <xf numFmtId="0" fontId="8" fillId="0" borderId="9" xfId="25" applyBorder="1"/>
    <xf numFmtId="0" fontId="8" fillId="0" borderId="1" xfId="25" applyBorder="1"/>
    <xf numFmtId="0" fontId="8" fillId="0" borderId="8" xfId="25" applyFont="1" applyBorder="1"/>
    <xf numFmtId="0" fontId="43" fillId="0" borderId="8" xfId="25" applyFont="1" applyBorder="1"/>
    <xf numFmtId="0" fontId="43" fillId="0" borderId="9" xfId="25" applyFont="1" applyBorder="1"/>
    <xf numFmtId="10" fontId="43" fillId="0" borderId="1" xfId="2" applyNumberFormat="1" applyFont="1" applyBorder="1"/>
    <xf numFmtId="165" fontId="8" fillId="0" borderId="0" xfId="3" applyFont="1"/>
    <xf numFmtId="165" fontId="0" fillId="3" borderId="1" xfId="3" applyFont="1" applyFill="1" applyBorder="1"/>
    <xf numFmtId="13" fontId="10" fillId="3" borderId="1" xfId="0" applyNumberFormat="1" applyFont="1" applyFill="1" applyBorder="1" applyAlignment="1">
      <alignment vertical="center"/>
    </xf>
    <xf numFmtId="13" fontId="10" fillId="0" borderId="1" xfId="0" applyNumberFormat="1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165" fontId="8" fillId="0" borderId="1" xfId="3" applyFont="1" applyBorder="1"/>
    <xf numFmtId="13" fontId="15" fillId="3" borderId="1" xfId="0" applyNumberFormat="1" applyFont="1" applyFill="1" applyBorder="1" applyAlignment="1">
      <alignment vertical="center"/>
    </xf>
    <xf numFmtId="165" fontId="43" fillId="0" borderId="1" xfId="3" applyFont="1" applyBorder="1"/>
    <xf numFmtId="165" fontId="15" fillId="0" borderId="0" xfId="0" applyNumberFormat="1" applyFont="1" applyAlignment="1">
      <alignment vertical="center"/>
    </xf>
    <xf numFmtId="4" fontId="13" fillId="0" borderId="0" xfId="0" applyNumberFormat="1" applyFont="1" applyBorder="1" applyAlignment="1">
      <alignment vertical="center"/>
    </xf>
    <xf numFmtId="165" fontId="12" fillId="0" borderId="14" xfId="3" applyFont="1" applyBorder="1" applyAlignment="1">
      <alignment horizontal="left" vertical="center"/>
    </xf>
    <xf numFmtId="0" fontId="26" fillId="0" borderId="0" xfId="0" applyFont="1" applyAlignment="1">
      <alignment vertical="center"/>
    </xf>
    <xf numFmtId="0" fontId="44" fillId="0" borderId="0" xfId="4" applyFont="1"/>
    <xf numFmtId="166" fontId="10" fillId="0" borderId="0" xfId="3" applyNumberFormat="1" applyFont="1" applyBorder="1"/>
    <xf numFmtId="0" fontId="5" fillId="0" borderId="0" xfId="4" applyFont="1"/>
    <xf numFmtId="43" fontId="0" fillId="0" borderId="1" xfId="5" applyNumberFormat="1" applyFont="1" applyBorder="1" applyAlignment="1">
      <alignment horizontal="center"/>
    </xf>
    <xf numFmtId="43" fontId="0" fillId="0" borderId="1" xfId="5" applyNumberFormat="1" applyFont="1" applyBorder="1" applyAlignment="1"/>
    <xf numFmtId="4" fontId="15" fillId="3" borderId="1" xfId="0" applyNumberFormat="1" applyFont="1" applyFill="1" applyBorder="1" applyAlignment="1">
      <alignment vertical="center"/>
    </xf>
    <xf numFmtId="0" fontId="5" fillId="0" borderId="0" xfId="25" applyFont="1"/>
    <xf numFmtId="165" fontId="15" fillId="0" borderId="1" xfId="3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65" fontId="10" fillId="0" borderId="1" xfId="3" applyFont="1" applyBorder="1"/>
    <xf numFmtId="165" fontId="0" fillId="0" borderId="1" xfId="3" applyFont="1" applyBorder="1"/>
    <xf numFmtId="0" fontId="12" fillId="0" borderId="1" xfId="0" applyFont="1" applyBorder="1"/>
    <xf numFmtId="165" fontId="12" fillId="0" borderId="1" xfId="0" applyNumberFormat="1" applyFont="1" applyBorder="1"/>
    <xf numFmtId="165" fontId="12" fillId="0" borderId="1" xfId="3" applyFont="1" applyBorder="1"/>
    <xf numFmtId="165" fontId="12" fillId="3" borderId="1" xfId="3" applyFont="1" applyFill="1" applyBorder="1"/>
    <xf numFmtId="0" fontId="10" fillId="0" borderId="1" xfId="0" applyFont="1" applyBorder="1"/>
    <xf numFmtId="43" fontId="0" fillId="3" borderId="1" xfId="0" applyNumberFormat="1" applyFill="1" applyBorder="1"/>
    <xf numFmtId="0" fontId="10" fillId="3" borderId="1" xfId="0" applyFont="1" applyFill="1" applyBorder="1"/>
    <xf numFmtId="165" fontId="0" fillId="0" borderId="1" xfId="2" applyNumberFormat="1" applyFont="1" applyBorder="1"/>
    <xf numFmtId="0" fontId="4" fillId="0" borderId="0" xfId="34"/>
    <xf numFmtId="0" fontId="4" fillId="0" borderId="0" xfId="34" applyBorder="1" applyAlignment="1"/>
    <xf numFmtId="0" fontId="4" fillId="0" borderId="0" xfId="34" applyBorder="1" applyAlignment="1">
      <alignment horizontal="center"/>
    </xf>
    <xf numFmtId="2" fontId="4" fillId="0" borderId="0" xfId="34" applyNumberFormat="1" applyBorder="1"/>
    <xf numFmtId="0" fontId="4" fillId="0" borderId="1" xfId="34" applyBorder="1" applyAlignment="1">
      <alignment horizontal="center"/>
    </xf>
    <xf numFmtId="0" fontId="4" fillId="0" borderId="0" xfId="34" applyAlignment="1">
      <alignment horizontal="center"/>
    </xf>
    <xf numFmtId="49" fontId="4" fillId="0" borderId="1" xfId="34" applyNumberFormat="1" applyBorder="1" applyAlignment="1">
      <alignment horizontal="center"/>
    </xf>
    <xf numFmtId="4" fontId="4" fillId="0" borderId="1" xfId="34" applyNumberFormat="1" applyBorder="1"/>
    <xf numFmtId="0" fontId="4" fillId="0" borderId="1" xfId="34" applyBorder="1"/>
    <xf numFmtId="0" fontId="4" fillId="0" borderId="14" xfId="34" applyBorder="1" applyAlignment="1">
      <alignment horizontal="center" vertical="center"/>
    </xf>
    <xf numFmtId="0" fontId="4" fillId="0" borderId="8" xfId="34" applyBorder="1" applyAlignment="1">
      <alignment horizontal="right" vertical="center"/>
    </xf>
    <xf numFmtId="0" fontId="4" fillId="0" borderId="10" xfId="34" applyBorder="1" applyAlignment="1">
      <alignment horizontal="left" vertical="center"/>
    </xf>
    <xf numFmtId="2" fontId="4" fillId="0" borderId="1" xfId="34" applyNumberFormat="1" applyBorder="1"/>
    <xf numFmtId="2" fontId="4" fillId="0" borderId="20" xfId="34" applyNumberFormat="1" applyBorder="1"/>
    <xf numFmtId="2" fontId="43" fillId="0" borderId="1" xfId="34" applyNumberFormat="1" applyFont="1" applyBorder="1"/>
    <xf numFmtId="2" fontId="43" fillId="0" borderId="20" xfId="34" applyNumberFormat="1" applyFont="1" applyBorder="1"/>
    <xf numFmtId="4" fontId="43" fillId="0" borderId="36" xfId="34" applyNumberFormat="1" applyFont="1" applyBorder="1" applyAlignment="1"/>
    <xf numFmtId="2" fontId="43" fillId="0" borderId="37" xfId="34" applyNumberFormat="1" applyFont="1" applyBorder="1"/>
    <xf numFmtId="4" fontId="0" fillId="0" borderId="1" xfId="35" applyNumberFormat="1" applyFont="1" applyBorder="1" applyAlignment="1">
      <alignment horizontal="right"/>
    </xf>
    <xf numFmtId="2" fontId="43" fillId="0" borderId="1" xfId="35" applyNumberFormat="1" applyFont="1" applyBorder="1"/>
    <xf numFmtId="177" fontId="0" fillId="0" borderId="1" xfId="35" applyNumberFormat="1" applyFont="1" applyBorder="1" applyAlignment="1">
      <alignment horizontal="right"/>
    </xf>
    <xf numFmtId="0" fontId="4" fillId="0" borderId="1" xfId="34" applyFill="1" applyBorder="1"/>
    <xf numFmtId="177" fontId="43" fillId="0" borderId="1" xfId="35" applyNumberFormat="1" applyFont="1" applyBorder="1"/>
    <xf numFmtId="2" fontId="43" fillId="0" borderId="1" xfId="35" applyNumberFormat="1" applyFont="1" applyBorder="1" applyAlignment="1">
      <alignment horizontal="right"/>
    </xf>
    <xf numFmtId="0" fontId="10" fillId="0" borderId="1" xfId="0" applyFont="1" applyBorder="1" applyAlignment="1">
      <alignment horizontal="center" vertical="center"/>
    </xf>
    <xf numFmtId="0" fontId="3" fillId="0" borderId="1" xfId="4" applyFont="1" applyBorder="1" applyAlignment="1">
      <alignment horizontal="left"/>
    </xf>
    <xf numFmtId="43" fontId="12" fillId="0" borderId="1" xfId="5" applyNumberFormat="1" applyFont="1" applyBorder="1" applyAlignment="1">
      <alignment horizontal="center"/>
    </xf>
    <xf numFmtId="0" fontId="3" fillId="0" borderId="14" xfId="34" applyFont="1" applyBorder="1" applyAlignment="1">
      <alignment horizontal="center" vertical="center"/>
    </xf>
    <xf numFmtId="176" fontId="14" fillId="0" borderId="20" xfId="3" applyNumberFormat="1" applyFont="1" applyBorder="1"/>
    <xf numFmtId="0" fontId="0" fillId="0" borderId="0" xfId="0" applyBorder="1"/>
    <xf numFmtId="0" fontId="12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165" fontId="0" fillId="0" borderId="0" xfId="3" applyFont="1" applyBorder="1"/>
    <xf numFmtId="43" fontId="0" fillId="0" borderId="0" xfId="0" applyNumberFormat="1" applyBorder="1"/>
    <xf numFmtId="165" fontId="12" fillId="0" borderId="0" xfId="0" applyNumberFormat="1" applyFont="1" applyBorder="1"/>
    <xf numFmtId="43" fontId="12" fillId="0" borderId="0" xfId="0" applyNumberFormat="1" applyFont="1" applyBorder="1"/>
    <xf numFmtId="0" fontId="10" fillId="0" borderId="0" xfId="0" applyFont="1" applyBorder="1"/>
    <xf numFmtId="49" fontId="0" fillId="0" borderId="1" xfId="0" applyNumberFormat="1" applyBorder="1" applyAlignment="1">
      <alignment horizontal="center"/>
    </xf>
    <xf numFmtId="178" fontId="0" fillId="0" borderId="1" xfId="0" applyNumberFormat="1" applyBorder="1"/>
    <xf numFmtId="4" fontId="0" fillId="0" borderId="1" xfId="0" applyNumberFormat="1" applyBorder="1"/>
    <xf numFmtId="2" fontId="43" fillId="0" borderId="1" xfId="3" applyNumberFormat="1" applyFont="1" applyBorder="1"/>
    <xf numFmtId="177" fontId="0" fillId="0" borderId="1" xfId="3" applyNumberFormat="1" applyFont="1" applyBorder="1" applyAlignment="1">
      <alignment horizontal="right"/>
    </xf>
    <xf numFmtId="0" fontId="0" fillId="0" borderId="1" xfId="0" applyFill="1" applyBorder="1"/>
    <xf numFmtId="177" fontId="43" fillId="0" borderId="1" xfId="3" applyNumberFormat="1" applyFont="1" applyBorder="1"/>
    <xf numFmtId="2" fontId="43" fillId="0" borderId="1" xfId="3" applyNumberFormat="1" applyFont="1" applyBorder="1" applyAlignment="1">
      <alignment horizontal="right"/>
    </xf>
    <xf numFmtId="179" fontId="8" fillId="0" borderId="0" xfId="25" applyNumberFormat="1"/>
    <xf numFmtId="0" fontId="1" fillId="0" borderId="14" xfId="34" applyFont="1" applyBorder="1" applyAlignment="1">
      <alignment horizontal="center" vertical="center"/>
    </xf>
    <xf numFmtId="0" fontId="4" fillId="0" borderId="0" xfId="34" applyFill="1" applyBorder="1" applyAlignment="1">
      <alignment horizontal="right"/>
    </xf>
    <xf numFmtId="2" fontId="43" fillId="0" borderId="0" xfId="35" applyNumberFormat="1" applyFont="1" applyBorder="1" applyAlignment="1">
      <alignment horizontal="right"/>
    </xf>
    <xf numFmtId="0" fontId="4" fillId="0" borderId="0" xfId="34" applyFill="1" applyBorder="1"/>
    <xf numFmtId="0" fontId="0" fillId="0" borderId="0" xfId="0" applyFill="1"/>
    <xf numFmtId="165" fontId="0" fillId="0" borderId="0" xfId="3" applyFont="1" applyFill="1"/>
    <xf numFmtId="165" fontId="0" fillId="0" borderId="0" xfId="0" applyNumberFormat="1" applyFill="1"/>
    <xf numFmtId="43" fontId="0" fillId="0" borderId="0" xfId="0" applyNumberFormat="1" applyFill="1"/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165" fontId="12" fillId="0" borderId="14" xfId="3" applyFont="1" applyBorder="1" applyAlignment="1">
      <alignment horizontal="left" vertical="center"/>
    </xf>
    <xf numFmtId="165" fontId="12" fillId="0" borderId="9" xfId="3" applyFont="1" applyBorder="1" applyAlignment="1">
      <alignment horizontal="left" vertical="center"/>
    </xf>
    <xf numFmtId="0" fontId="26" fillId="8" borderId="25" xfId="0" applyFont="1" applyFill="1" applyBorder="1" applyAlignment="1">
      <alignment horizontal="center" vertical="center"/>
    </xf>
    <xf numFmtId="0" fontId="26" fillId="8" borderId="26" xfId="0" applyFont="1" applyFill="1" applyBorder="1" applyAlignment="1">
      <alignment horizontal="center" vertical="center"/>
    </xf>
    <xf numFmtId="0" fontId="26" fillId="8" borderId="27" xfId="0" applyFont="1" applyFill="1" applyBorder="1" applyAlignment="1">
      <alignment horizontal="center" vertical="center"/>
    </xf>
    <xf numFmtId="0" fontId="16" fillId="8" borderId="44" xfId="0" applyFont="1" applyFill="1" applyBorder="1" applyAlignment="1">
      <alignment horizontal="center" vertical="center"/>
    </xf>
    <xf numFmtId="0" fontId="16" fillId="8" borderId="42" xfId="0" applyFont="1" applyFill="1" applyBorder="1" applyAlignment="1">
      <alignment horizontal="center" vertical="center"/>
    </xf>
    <xf numFmtId="0" fontId="16" fillId="8" borderId="45" xfId="0" applyFont="1" applyFill="1" applyBorder="1" applyAlignment="1">
      <alignment horizontal="center" vertical="center"/>
    </xf>
    <xf numFmtId="165" fontId="12" fillId="0" borderId="5" xfId="3" applyFont="1" applyBorder="1" applyAlignment="1">
      <alignment horizontal="center" vertical="center"/>
    </xf>
    <xf numFmtId="165" fontId="12" fillId="0" borderId="6" xfId="3" applyFont="1" applyBorder="1" applyAlignment="1">
      <alignment horizontal="center" vertical="center"/>
    </xf>
    <xf numFmtId="165" fontId="12" fillId="0" borderId="43" xfId="3" applyFont="1" applyBorder="1" applyAlignment="1">
      <alignment horizontal="center" vertical="center"/>
    </xf>
    <xf numFmtId="165" fontId="13" fillId="8" borderId="5" xfId="3" applyFont="1" applyFill="1" applyBorder="1" applyAlignment="1">
      <alignment horizontal="center" vertical="center"/>
    </xf>
    <xf numFmtId="165" fontId="13" fillId="8" borderId="6" xfId="3" applyFont="1" applyFill="1" applyBorder="1" applyAlignment="1">
      <alignment horizontal="center" vertical="center"/>
    </xf>
    <xf numFmtId="165" fontId="13" fillId="8" borderId="7" xfId="3" applyFont="1" applyFill="1" applyBorder="1" applyAlignment="1">
      <alignment horizontal="center" vertical="center"/>
    </xf>
    <xf numFmtId="0" fontId="26" fillId="8" borderId="21" xfId="0" applyFont="1" applyFill="1" applyBorder="1" applyAlignment="1">
      <alignment horizontal="center" vertical="center"/>
    </xf>
    <xf numFmtId="0" fontId="26" fillId="8" borderId="22" xfId="0" applyFont="1" applyFill="1" applyBorder="1" applyAlignment="1">
      <alignment horizontal="center" vertical="center"/>
    </xf>
    <xf numFmtId="0" fontId="26" fillId="8" borderId="12" xfId="0" applyFont="1" applyFill="1" applyBorder="1" applyAlignment="1">
      <alignment horizontal="center" vertical="center"/>
    </xf>
    <xf numFmtId="0" fontId="26" fillId="10" borderId="19" xfId="0" applyFont="1" applyFill="1" applyBorder="1" applyAlignment="1">
      <alignment horizontal="center"/>
    </xf>
    <xf numFmtId="0" fontId="26" fillId="10" borderId="46" xfId="0" applyFont="1" applyFill="1" applyBorder="1" applyAlignment="1">
      <alignment horizontal="center"/>
    </xf>
    <xf numFmtId="0" fontId="15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4" fillId="0" borderId="1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center" vertical="center"/>
    </xf>
    <xf numFmtId="9" fontId="16" fillId="0" borderId="21" xfId="2" applyFont="1" applyBorder="1" applyAlignment="1">
      <alignment horizontal="center"/>
    </xf>
    <xf numFmtId="9" fontId="16" fillId="0" borderId="22" xfId="2" applyFont="1" applyBorder="1" applyAlignment="1">
      <alignment horizontal="center"/>
    </xf>
    <xf numFmtId="9" fontId="16" fillId="0" borderId="12" xfId="2" applyFont="1" applyBorder="1" applyAlignment="1">
      <alignment horizontal="center"/>
    </xf>
    <xf numFmtId="0" fontId="13" fillId="10" borderId="25" xfId="0" applyFont="1" applyFill="1" applyBorder="1" applyAlignment="1">
      <alignment horizontal="center" vertical="center"/>
    </xf>
    <xf numFmtId="0" fontId="13" fillId="10" borderId="26" xfId="0" applyFont="1" applyFill="1" applyBorder="1" applyAlignment="1">
      <alignment horizontal="center" vertical="center"/>
    </xf>
    <xf numFmtId="0" fontId="13" fillId="10" borderId="27" xfId="0" applyFont="1" applyFill="1" applyBorder="1" applyAlignment="1">
      <alignment horizontal="center" vertical="center"/>
    </xf>
    <xf numFmtId="0" fontId="43" fillId="0" borderId="8" xfId="4" applyFont="1" applyBorder="1" applyAlignment="1">
      <alignment horizontal="center"/>
    </xf>
    <xf numFmtId="0" fontId="43" fillId="0" borderId="9" xfId="4" applyFont="1" applyBorder="1" applyAlignment="1">
      <alignment horizontal="center"/>
    </xf>
    <xf numFmtId="0" fontId="43" fillId="0" borderId="10" xfId="4" applyFont="1" applyBorder="1" applyAlignment="1">
      <alignment horizontal="center"/>
    </xf>
    <xf numFmtId="0" fontId="4" fillId="0" borderId="40" xfId="34" applyBorder="1" applyAlignment="1">
      <alignment horizontal="center" vertical="center" wrapText="1"/>
    </xf>
    <xf numFmtId="0" fontId="4" fillId="0" borderId="41" xfId="34" applyBorder="1" applyAlignment="1">
      <alignment horizontal="center" vertical="center" wrapText="1"/>
    </xf>
    <xf numFmtId="0" fontId="4" fillId="0" borderId="60" xfId="34" applyBorder="1" applyAlignment="1">
      <alignment horizontal="center" vertical="center" wrapText="1"/>
    </xf>
    <xf numFmtId="0" fontId="4" fillId="0" borderId="8" xfId="34" applyBorder="1" applyAlignment="1">
      <alignment horizontal="center"/>
    </xf>
    <xf numFmtId="0" fontId="4" fillId="0" borderId="9" xfId="34" applyBorder="1" applyAlignment="1">
      <alignment horizontal="center"/>
    </xf>
    <xf numFmtId="0" fontId="4" fillId="0" borderId="10" xfId="34" applyBorder="1" applyAlignment="1">
      <alignment horizontal="center"/>
    </xf>
    <xf numFmtId="0" fontId="4" fillId="0" borderId="1" xfId="34" applyFill="1" applyBorder="1" applyAlignment="1">
      <alignment horizontal="right"/>
    </xf>
    <xf numFmtId="0" fontId="4" fillId="0" borderId="0" xfId="34" applyBorder="1" applyAlignment="1">
      <alignment horizontal="center"/>
    </xf>
    <xf numFmtId="0" fontId="4" fillId="0" borderId="14" xfId="34" applyBorder="1" applyAlignment="1">
      <alignment horizontal="center" vertical="center" wrapText="1"/>
    </xf>
    <xf numFmtId="0" fontId="4" fillId="0" borderId="9" xfId="34" applyBorder="1" applyAlignment="1">
      <alignment horizontal="center" vertical="center" wrapText="1"/>
    </xf>
    <xf numFmtId="0" fontId="4" fillId="0" borderId="10" xfId="34" applyBorder="1" applyAlignment="1">
      <alignment horizontal="center" vertical="center" wrapText="1"/>
    </xf>
    <xf numFmtId="0" fontId="4" fillId="0" borderId="1" xfId="34" applyBorder="1" applyAlignment="1">
      <alignment horizontal="center"/>
    </xf>
    <xf numFmtId="0" fontId="4" fillId="0" borderId="14" xfId="34" applyBorder="1" applyAlignment="1">
      <alignment horizontal="center"/>
    </xf>
    <xf numFmtId="0" fontId="4" fillId="0" borderId="15" xfId="34" applyBorder="1" applyAlignment="1">
      <alignment horizontal="center"/>
    </xf>
    <xf numFmtId="0" fontId="3" fillId="0" borderId="5" xfId="34" applyFont="1" applyBorder="1" applyAlignment="1">
      <alignment horizontal="center" vertical="center" wrapText="1"/>
    </xf>
    <xf numFmtId="0" fontId="4" fillId="0" borderId="6" xfId="34" applyBorder="1" applyAlignment="1">
      <alignment horizontal="center" vertical="center" wrapText="1"/>
    </xf>
    <xf numFmtId="0" fontId="4" fillId="0" borderId="7" xfId="34" applyBorder="1" applyAlignment="1">
      <alignment horizontal="center" vertical="center" wrapText="1"/>
    </xf>
    <xf numFmtId="0" fontId="4" fillId="0" borderId="32" xfId="34" applyBorder="1" applyAlignment="1">
      <alignment horizontal="center" vertical="center" wrapText="1"/>
    </xf>
    <xf numFmtId="0" fontId="4" fillId="0" borderId="49" xfId="34" applyBorder="1" applyAlignment="1">
      <alignment horizontal="center" vertical="center" wrapText="1"/>
    </xf>
    <xf numFmtId="0" fontId="4" fillId="0" borderId="58" xfId="34" applyBorder="1" applyAlignment="1">
      <alignment horizontal="center" vertical="center" wrapText="1"/>
    </xf>
    <xf numFmtId="0" fontId="4" fillId="0" borderId="59" xfId="34" applyBorder="1" applyAlignment="1">
      <alignment horizontal="center" vertical="center" wrapText="1"/>
    </xf>
    <xf numFmtId="0" fontId="4" fillId="0" borderId="57" xfId="34" applyBorder="1" applyAlignment="1">
      <alignment horizontal="center" vertical="center" wrapText="1"/>
    </xf>
    <xf numFmtId="0" fontId="4" fillId="0" borderId="56" xfId="34" applyBorder="1" applyAlignment="1">
      <alignment horizontal="center" vertical="center" wrapText="1"/>
    </xf>
    <xf numFmtId="0" fontId="2" fillId="0" borderId="33" xfId="34" applyFont="1" applyBorder="1" applyAlignment="1">
      <alignment horizontal="center" vertical="center" wrapText="1"/>
    </xf>
    <xf numFmtId="0" fontId="4" fillId="0" borderId="2" xfId="34" applyBorder="1" applyAlignment="1">
      <alignment horizontal="center" vertical="center" wrapText="1"/>
    </xf>
    <xf numFmtId="0" fontId="4" fillId="0" borderId="13" xfId="34" applyBorder="1" applyAlignment="1">
      <alignment horizontal="center" vertical="center" wrapText="1"/>
    </xf>
    <xf numFmtId="0" fontId="4" fillId="0" borderId="50" xfId="34" applyBorder="1" applyAlignment="1">
      <alignment horizontal="center" vertical="center" wrapText="1"/>
    </xf>
    <xf numFmtId="0" fontId="4" fillId="0" borderId="33" xfId="34" applyBorder="1" applyAlignment="1">
      <alignment horizontal="center" vertical="center" wrapText="1"/>
    </xf>
    <xf numFmtId="0" fontId="3" fillId="0" borderId="1" xfId="34" applyFont="1" applyBorder="1" applyAlignment="1">
      <alignment horizontal="center"/>
    </xf>
    <xf numFmtId="0" fontId="1" fillId="0" borderId="1" xfId="34" applyFont="1" applyBorder="1" applyAlignment="1">
      <alignment horizontal="center"/>
    </xf>
    <xf numFmtId="0" fontId="1" fillId="0" borderId="8" xfId="34" applyFont="1" applyBorder="1" applyAlignment="1">
      <alignment horizontal="center" wrapText="1"/>
    </xf>
    <xf numFmtId="0" fontId="4" fillId="0" borderId="9" xfId="34" applyBorder="1" applyAlignment="1">
      <alignment horizontal="center" wrapText="1"/>
    </xf>
    <xf numFmtId="0" fontId="4" fillId="0" borderId="10" xfId="34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right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3" fillId="10" borderId="5" xfId="0" applyFont="1" applyFill="1" applyBorder="1" applyAlignment="1">
      <alignment horizontal="center" vertical="center"/>
    </xf>
    <xf numFmtId="0" fontId="13" fillId="10" borderId="6" xfId="0" applyFont="1" applyFill="1" applyBorder="1" applyAlignment="1">
      <alignment horizontal="center" vertical="center"/>
    </xf>
    <xf numFmtId="0" fontId="26" fillId="10" borderId="21" xfId="0" applyFont="1" applyFill="1" applyBorder="1" applyAlignment="1">
      <alignment horizontal="center"/>
    </xf>
    <xf numFmtId="0" fontId="26" fillId="10" borderId="22" xfId="0" applyFont="1" applyFill="1" applyBorder="1" applyAlignment="1">
      <alignment horizontal="center"/>
    </xf>
    <xf numFmtId="0" fontId="26" fillId="10" borderId="12" xfId="0" applyFont="1" applyFill="1" applyBorder="1" applyAlignment="1">
      <alignment horizontal="center"/>
    </xf>
  </cellXfs>
  <cellStyles count="36">
    <cellStyle name="Hiperlink" xfId="1" builtinId="8"/>
    <cellStyle name="Moeda 2" xfId="6"/>
    <cellStyle name="Moeda 3" xfId="7"/>
    <cellStyle name="Normal" xfId="0" builtinId="0"/>
    <cellStyle name="Normal 10" xfId="26"/>
    <cellStyle name="Normal 11" xfId="27"/>
    <cellStyle name="Normal 12" xfId="30"/>
    <cellStyle name="Normal 13" xfId="32"/>
    <cellStyle name="Normal 14" xfId="34"/>
    <cellStyle name="Normal 2" xfId="8"/>
    <cellStyle name="Normal 2 2" xfId="9"/>
    <cellStyle name="Normal 2 3" xfId="25"/>
    <cellStyle name="Normal 3" xfId="10"/>
    <cellStyle name="Normal 4" xfId="11"/>
    <cellStyle name="Normal 5" xfId="12"/>
    <cellStyle name="Normal 6" xfId="4"/>
    <cellStyle name="Normal 7" xfId="13"/>
    <cellStyle name="Normal 8" xfId="14"/>
    <cellStyle name="Normal 9" xfId="15"/>
    <cellStyle name="Porcentagem" xfId="2" builtinId="5"/>
    <cellStyle name="Porcentagem 2" xfId="16"/>
    <cellStyle name="Porcentagem 3" xfId="17"/>
    <cellStyle name="Separador de milhares 10" xfId="28"/>
    <cellStyle name="Separador de milhares 11" xfId="31"/>
    <cellStyle name="Separador de milhares 12" xfId="33"/>
    <cellStyle name="Separador de milhares 13" xfId="35"/>
    <cellStyle name="Separador de milhares 2" xfId="18"/>
    <cellStyle name="Separador de milhares 3" xfId="19"/>
    <cellStyle name="Separador de milhares 4" xfId="20"/>
    <cellStyle name="Separador de milhares 5" xfId="5"/>
    <cellStyle name="Separador de milhares 6" xfId="21"/>
    <cellStyle name="Separador de milhares 7" xfId="22"/>
    <cellStyle name="Separador de milhares 8" xfId="23"/>
    <cellStyle name="Separador de milhares 9" xfId="29"/>
    <cellStyle name="Vírgula" xfId="3" builtinId="3"/>
    <cellStyle name="Vírgula 2" xfId="24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4</xdr:row>
      <xdr:rowOff>28575</xdr:rowOff>
    </xdr:from>
    <xdr:to>
      <xdr:col>0</xdr:col>
      <xdr:colOff>1419225</xdr:colOff>
      <xdr:row>6</xdr:row>
      <xdr:rowOff>66675</xdr:rowOff>
    </xdr:to>
    <xdr:pic>
      <xdr:nvPicPr>
        <xdr:cNvPr id="6506" name="Picture 2">
          <a:extLst>
            <a:ext uri="{FF2B5EF4-FFF2-40B4-BE49-F238E27FC236}">
              <a16:creationId xmlns:a16="http://schemas.microsoft.com/office/drawing/2014/main" xmlns="" id="{00000000-0008-0000-0A00-00006A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19100"/>
          <a:ext cx="12858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7</xdr:row>
      <xdr:rowOff>9525</xdr:rowOff>
    </xdr:from>
    <xdr:to>
      <xdr:col>0</xdr:col>
      <xdr:colOff>2124075</xdr:colOff>
      <xdr:row>9</xdr:row>
      <xdr:rowOff>57150</xdr:rowOff>
    </xdr:to>
    <xdr:pic>
      <xdr:nvPicPr>
        <xdr:cNvPr id="6507" name="Picture 1">
          <a:extLst>
            <a:ext uri="{FF2B5EF4-FFF2-40B4-BE49-F238E27FC236}">
              <a16:creationId xmlns:a16="http://schemas.microsoft.com/office/drawing/2014/main" xmlns="" id="{00000000-0008-0000-0A00-00006B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85825"/>
          <a:ext cx="20383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36"/>
  <sheetViews>
    <sheetView zoomScaleSheetLayoutView="100" workbookViewId="0">
      <selection activeCell="C11" sqref="C11"/>
    </sheetView>
  </sheetViews>
  <sheetFormatPr defaultColWidth="9.140625" defaultRowHeight="12.75" x14ac:dyDescent="0.2"/>
  <cols>
    <col min="1" max="1" width="44.5703125" style="9" customWidth="1"/>
    <col min="2" max="2" width="16" style="9" bestFit="1" customWidth="1"/>
    <col min="3" max="3" width="11.85546875" style="9" customWidth="1"/>
    <col min="4" max="4" width="14.7109375" style="10" customWidth="1"/>
    <col min="5" max="5" width="15.42578125" style="10" customWidth="1"/>
    <col min="6" max="6" width="13.28515625" style="10" customWidth="1"/>
    <col min="7" max="7" width="28.140625" style="10" customWidth="1"/>
    <col min="8" max="8" width="9.140625" style="9"/>
    <col min="9" max="9" width="14.5703125" style="9" customWidth="1"/>
    <col min="10" max="10" width="13.42578125" style="9" customWidth="1"/>
    <col min="11" max="16384" width="9.140625" style="9"/>
  </cols>
  <sheetData>
    <row r="1" spans="1:7" ht="15.75" x14ac:dyDescent="0.2">
      <c r="A1" s="303" t="s">
        <v>202</v>
      </c>
    </row>
    <row r="2" spans="1:7" ht="15.75" x14ac:dyDescent="0.2">
      <c r="A2" s="351" t="s">
        <v>293</v>
      </c>
    </row>
    <row r="3" spans="1:7" ht="15.75" x14ac:dyDescent="0.2">
      <c r="A3" s="351" t="s">
        <v>294</v>
      </c>
    </row>
    <row r="4" spans="1:7" ht="15.75" x14ac:dyDescent="0.2">
      <c r="A4" s="351" t="s">
        <v>296</v>
      </c>
    </row>
    <row r="5" spans="1:7" s="4" customFormat="1" ht="15.6" customHeight="1" x14ac:dyDescent="0.2">
      <c r="A5" s="303" t="s">
        <v>290</v>
      </c>
      <c r="C5" s="139"/>
      <c r="D5" s="139"/>
      <c r="E5" s="139"/>
      <c r="F5" s="139"/>
      <c r="G5" s="6"/>
    </row>
    <row r="6" spans="1:7" s="4" customFormat="1" ht="15.6" customHeight="1" x14ac:dyDescent="0.2">
      <c r="A6" s="304" t="s">
        <v>295</v>
      </c>
      <c r="B6" s="139"/>
      <c r="C6" s="139"/>
      <c r="D6" s="139"/>
      <c r="E6" s="139"/>
      <c r="F6" s="139"/>
      <c r="G6" s="6"/>
    </row>
    <row r="7" spans="1:7" s="4" customFormat="1" ht="15.6" hidden="1" customHeight="1" x14ac:dyDescent="0.2">
      <c r="A7" s="138"/>
      <c r="B7" s="139"/>
      <c r="C7" s="139"/>
      <c r="D7" s="139"/>
      <c r="E7" s="139"/>
      <c r="F7" s="139"/>
      <c r="G7" s="6"/>
    </row>
    <row r="8" spans="1:7" s="4" customFormat="1" ht="15.6" hidden="1" customHeight="1" x14ac:dyDescent="0.2">
      <c r="A8" s="305" t="s">
        <v>301</v>
      </c>
      <c r="B8" s="139"/>
      <c r="C8" s="139"/>
      <c r="D8" s="139"/>
      <c r="E8" s="139"/>
      <c r="F8" s="139"/>
      <c r="G8" s="6"/>
    </row>
    <row r="9" spans="1:7" s="4" customFormat="1" ht="15.6" customHeight="1" x14ac:dyDescent="0.2">
      <c r="A9" s="351" t="s">
        <v>298</v>
      </c>
      <c r="B9" s="139"/>
      <c r="C9" s="139"/>
      <c r="D9" s="139"/>
      <c r="E9" s="139"/>
      <c r="F9" s="139"/>
      <c r="G9" s="6"/>
    </row>
    <row r="10" spans="1:7" s="4" customFormat="1" ht="7.15" customHeight="1" x14ac:dyDescent="0.2">
      <c r="A10" s="7"/>
      <c r="B10" s="5"/>
      <c r="C10" s="5"/>
      <c r="D10" s="6"/>
      <c r="E10" s="6"/>
      <c r="F10" s="6"/>
      <c r="G10" s="6"/>
    </row>
    <row r="11" spans="1:7" s="4" customFormat="1" ht="16.5" customHeight="1" thickBot="1" x14ac:dyDescent="0.25">
      <c r="A11" s="353" t="s">
        <v>429</v>
      </c>
      <c r="B11" s="5"/>
      <c r="C11" s="5"/>
      <c r="D11" s="6"/>
      <c r="E11" s="6"/>
      <c r="F11" s="6"/>
      <c r="G11" s="6"/>
    </row>
    <row r="12" spans="1:7" s="8" customFormat="1" ht="18" x14ac:dyDescent="0.2">
      <c r="A12" s="433" t="s">
        <v>407</v>
      </c>
      <c r="B12" s="434"/>
      <c r="C12" s="434"/>
      <c r="D12" s="434"/>
      <c r="E12" s="434"/>
      <c r="F12" s="435"/>
      <c r="G12" s="36"/>
    </row>
    <row r="13" spans="1:7" s="8" customFormat="1" ht="21.75" customHeight="1" x14ac:dyDescent="0.2">
      <c r="A13" s="436" t="s">
        <v>45</v>
      </c>
      <c r="B13" s="437"/>
      <c r="C13" s="437"/>
      <c r="D13" s="437"/>
      <c r="E13" s="437"/>
      <c r="F13" s="438"/>
      <c r="G13" s="36"/>
    </row>
    <row r="14" spans="1:7" s="4" customFormat="1" ht="10.9" customHeight="1" thickBot="1" x14ac:dyDescent="0.25">
      <c r="A14" s="151"/>
      <c r="B14" s="152"/>
      <c r="C14" s="152"/>
      <c r="D14" s="153"/>
      <c r="E14" s="153"/>
      <c r="F14" s="154"/>
      <c r="G14" s="6"/>
    </row>
    <row r="15" spans="1:7" s="4" customFormat="1" ht="15.75" customHeight="1" thickBot="1" x14ac:dyDescent="0.25">
      <c r="A15" s="442" t="s">
        <v>201</v>
      </c>
      <c r="B15" s="443"/>
      <c r="C15" s="443"/>
      <c r="D15" s="443"/>
      <c r="E15" s="443"/>
      <c r="F15" s="444"/>
      <c r="G15" s="6"/>
    </row>
    <row r="16" spans="1:7" s="4" customFormat="1" ht="15.75" customHeight="1" x14ac:dyDescent="0.2">
      <c r="A16" s="64" t="s">
        <v>200</v>
      </c>
      <c r="B16" s="40"/>
      <c r="C16" s="40"/>
      <c r="D16" s="261"/>
      <c r="E16" s="115" t="s">
        <v>40</v>
      </c>
      <c r="F16" s="41" t="s">
        <v>2</v>
      </c>
      <c r="G16" s="6"/>
    </row>
    <row r="17" spans="1:7" s="11" customFormat="1" ht="15.75" customHeight="1" x14ac:dyDescent="0.2">
      <c r="A17" s="125" t="str">
        <f>A54</f>
        <v>1. Mão-de-obra</v>
      </c>
      <c r="B17" s="126"/>
      <c r="C17" s="127"/>
      <c r="D17" s="127"/>
      <c r="E17" s="258">
        <f>+F146</f>
        <v>6246.7121765211359</v>
      </c>
      <c r="F17" s="128">
        <f>IFERROR(E17/$E$37,0)</f>
        <v>0.38089780336482337</v>
      </c>
      <c r="G17" s="44"/>
    </row>
    <row r="18" spans="1:7" s="4" customFormat="1" ht="15.75" customHeight="1" x14ac:dyDescent="0.2">
      <c r="A18" s="49" t="str">
        <f>A56</f>
        <v>1.1. Coletor Turno Dia</v>
      </c>
      <c r="B18" s="45"/>
      <c r="C18" s="47"/>
      <c r="D18" s="47"/>
      <c r="E18" s="259">
        <f>F67</f>
        <v>3152.0977254899994</v>
      </c>
      <c r="F18" s="58">
        <f>IFERROR(E18/$E$37,0)</f>
        <v>0.19220144384802432</v>
      </c>
      <c r="G18" s="6"/>
    </row>
    <row r="19" spans="1:7" s="4" customFormat="1" ht="15.75" hidden="1" customHeight="1" x14ac:dyDescent="0.2">
      <c r="A19" s="49" t="str">
        <f>A69</f>
        <v>1.2. Coletor Turno Noite</v>
      </c>
      <c r="B19" s="45"/>
      <c r="C19" s="47"/>
      <c r="D19" s="47"/>
      <c r="E19" s="259">
        <f>F86</f>
        <v>0</v>
      </c>
      <c r="F19" s="58">
        <f t="shared" ref="F19:F36" si="0">IFERROR(E19/$E$37,0)</f>
        <v>0</v>
      </c>
      <c r="G19" s="6"/>
    </row>
    <row r="20" spans="1:7" s="4" customFormat="1" ht="15.75" customHeight="1" x14ac:dyDescent="0.2">
      <c r="A20" s="49" t="str">
        <f>A88</f>
        <v>1.3. Motorista Turno do Dia</v>
      </c>
      <c r="B20" s="45"/>
      <c r="C20" s="47"/>
      <c r="D20" s="47"/>
      <c r="E20" s="259">
        <f>F101</f>
        <v>1709.8669910311362</v>
      </c>
      <c r="F20" s="58">
        <f t="shared" si="0"/>
        <v>0.10426037930444358</v>
      </c>
      <c r="G20" s="6"/>
    </row>
    <row r="21" spans="1:7" s="4" customFormat="1" ht="15.75" customHeight="1" x14ac:dyDescent="0.2">
      <c r="A21" s="49" t="str">
        <f>A104</f>
        <v>1.4. Encarregado/Supervisor</v>
      </c>
      <c r="B21" s="45"/>
      <c r="C21" s="47"/>
      <c r="D21" s="47"/>
      <c r="E21" s="259">
        <f>F123</f>
        <v>407.09301454545459</v>
      </c>
      <c r="F21" s="58">
        <f t="shared" si="0"/>
        <v>2.4822791674048741E-2</v>
      </c>
      <c r="G21" s="6"/>
    </row>
    <row r="22" spans="1:7" s="4" customFormat="1" ht="15.75" customHeight="1" x14ac:dyDescent="0.2">
      <c r="A22" s="49" t="str">
        <f>A125</f>
        <v>1.5. Vale Transporte</v>
      </c>
      <c r="B22" s="45"/>
      <c r="C22" s="47"/>
      <c r="D22" s="47"/>
      <c r="E22" s="259">
        <f>F131</f>
        <v>248.70740000000001</v>
      </c>
      <c r="F22" s="58">
        <f t="shared" si="0"/>
        <v>1.5165114009356174E-2</v>
      </c>
      <c r="G22" s="6"/>
    </row>
    <row r="23" spans="1:7" s="4" customFormat="1" ht="15.75" customHeight="1" x14ac:dyDescent="0.2">
      <c r="A23" s="49" t="str">
        <f>A133</f>
        <v>1.6. Vale-refeição (diário)</v>
      </c>
      <c r="B23" s="45"/>
      <c r="C23" s="47"/>
      <c r="D23" s="47"/>
      <c r="E23" s="259">
        <f>F138</f>
        <v>698.48000000000013</v>
      </c>
      <c r="F23" s="58">
        <f t="shared" si="0"/>
        <v>4.2590324346019066E-2</v>
      </c>
      <c r="G23" s="6"/>
    </row>
    <row r="24" spans="1:7" s="4" customFormat="1" ht="15.75" customHeight="1" x14ac:dyDescent="0.2">
      <c r="A24" s="49" t="str">
        <f>A140</f>
        <v>1.7. Auxílio Alimentação (mensal)</v>
      </c>
      <c r="B24" s="45"/>
      <c r="C24" s="47"/>
      <c r="D24" s="47"/>
      <c r="E24" s="259">
        <f>F144</f>
        <v>30.467045454545453</v>
      </c>
      <c r="F24" s="58">
        <f t="shared" si="0"/>
        <v>1.8577501829315033E-3</v>
      </c>
      <c r="G24" s="6"/>
    </row>
    <row r="25" spans="1:7" s="11" customFormat="1" ht="15.75" customHeight="1" x14ac:dyDescent="0.2">
      <c r="A25" s="431" t="str">
        <f>A148</f>
        <v>2. Uniformes e Equipamentos de Proteção Individual</v>
      </c>
      <c r="B25" s="432"/>
      <c r="C25" s="432"/>
      <c r="D25" s="127"/>
      <c r="E25" s="258">
        <f>+F180</f>
        <v>312.12613636363631</v>
      </c>
      <c r="F25" s="128">
        <f t="shared" si="0"/>
        <v>1.9032117432993132E-2</v>
      </c>
      <c r="G25" s="44"/>
    </row>
    <row r="26" spans="1:7" s="11" customFormat="1" ht="15.75" customHeight="1" x14ac:dyDescent="0.2">
      <c r="A26" s="136" t="str">
        <f>A182</f>
        <v>3. Veículos e Equipamentos</v>
      </c>
      <c r="B26" s="137"/>
      <c r="C26" s="127"/>
      <c r="D26" s="127"/>
      <c r="E26" s="258">
        <f>+F261</f>
        <v>6096.1180536585935</v>
      </c>
      <c r="F26" s="128">
        <f t="shared" si="0"/>
        <v>0.37171521755374803</v>
      </c>
      <c r="G26" s="44"/>
    </row>
    <row r="27" spans="1:7" s="4" customFormat="1" ht="15.75" customHeight="1" x14ac:dyDescent="0.2">
      <c r="A27" s="65" t="str">
        <f>A184</f>
        <v>3.1. Veículo Coletor com compactador</v>
      </c>
      <c r="B27" s="46"/>
      <c r="C27" s="47"/>
      <c r="D27" s="47"/>
      <c r="E27" s="259">
        <f>SUM(E28:E33)</f>
        <v>6096.1180536585935</v>
      </c>
      <c r="F27" s="144">
        <f t="shared" si="0"/>
        <v>0.37171521755374803</v>
      </c>
      <c r="G27" s="6"/>
    </row>
    <row r="28" spans="1:7" s="4" customFormat="1" ht="15.75" customHeight="1" x14ac:dyDescent="0.2">
      <c r="A28" s="65" t="str">
        <f>A186</f>
        <v>3.1.1. Depreciação</v>
      </c>
      <c r="B28" s="46"/>
      <c r="C28" s="47"/>
      <c r="D28" s="47"/>
      <c r="E28" s="259">
        <f>F200</f>
        <v>1033.6209890625</v>
      </c>
      <c r="F28" s="144">
        <f t="shared" si="0"/>
        <v>6.3025789106380847E-2</v>
      </c>
      <c r="G28" s="6"/>
    </row>
    <row r="29" spans="1:7" s="4" customFormat="1" ht="15.75" customHeight="1" x14ac:dyDescent="0.2">
      <c r="A29" s="65" t="str">
        <f>A202</f>
        <v>3.1.2. Remuneração do Capital</v>
      </c>
      <c r="B29" s="46"/>
      <c r="C29" s="47"/>
      <c r="D29" s="47"/>
      <c r="E29" s="259">
        <f>F216</f>
        <v>419.45011955859383</v>
      </c>
      <c r="F29" s="144">
        <f t="shared" si="0"/>
        <v>2.5576275110206423E-2</v>
      </c>
      <c r="G29" s="6"/>
    </row>
    <row r="30" spans="1:7" s="4" customFormat="1" ht="15.75" customHeight="1" x14ac:dyDescent="0.2">
      <c r="A30" s="65" t="str">
        <f>A218</f>
        <v>3.1.3. Impostos e Seguros</v>
      </c>
      <c r="B30" s="46"/>
      <c r="C30" s="47"/>
      <c r="D30" s="47"/>
      <c r="E30" s="259">
        <f>F224</f>
        <v>193.83453543749999</v>
      </c>
      <c r="F30" s="144">
        <f t="shared" si="0"/>
        <v>1.1819201313914571E-2</v>
      </c>
      <c r="G30" s="6"/>
    </row>
    <row r="31" spans="1:7" s="4" customFormat="1" ht="15.75" customHeight="1" x14ac:dyDescent="0.2">
      <c r="A31" s="65" t="str">
        <f>A226</f>
        <v>3.1.4. Consumos</v>
      </c>
      <c r="B31" s="46"/>
      <c r="C31" s="47"/>
      <c r="D31" s="47"/>
      <c r="E31" s="259">
        <f>F244</f>
        <v>2760.6348095999997</v>
      </c>
      <c r="F31" s="144">
        <f t="shared" si="0"/>
        <v>0.16833170877015027</v>
      </c>
      <c r="G31" s="6"/>
    </row>
    <row r="32" spans="1:7" s="4" customFormat="1" ht="15.75" customHeight="1" x14ac:dyDescent="0.2">
      <c r="A32" s="65" t="str">
        <f>A246</f>
        <v>3.1.5. Manutenção</v>
      </c>
      <c r="B32" s="46"/>
      <c r="C32" s="47"/>
      <c r="D32" s="47"/>
      <c r="E32" s="259">
        <f>F249</f>
        <v>1384.0800000000002</v>
      </c>
      <c r="F32" s="144">
        <f t="shared" si="0"/>
        <v>8.439528135499666E-2</v>
      </c>
      <c r="G32" s="6"/>
    </row>
    <row r="33" spans="1:7" s="4" customFormat="1" ht="15.75" customHeight="1" x14ac:dyDescent="0.2">
      <c r="A33" s="65" t="str">
        <f>A251</f>
        <v>3.1.6. Pneus</v>
      </c>
      <c r="B33" s="46"/>
      <c r="C33" s="47"/>
      <c r="D33" s="47"/>
      <c r="E33" s="259">
        <f>F258</f>
        <v>304.49760000000003</v>
      </c>
      <c r="F33" s="144">
        <f t="shared" si="0"/>
        <v>1.8566961898099265E-2</v>
      </c>
      <c r="G33" s="6"/>
    </row>
    <row r="34" spans="1:7" s="11" customFormat="1" ht="15.75" customHeight="1" x14ac:dyDescent="0.2">
      <c r="A34" s="136" t="str">
        <f>A263</f>
        <v>4. Ferramentas e Materiais de Consumo</v>
      </c>
      <c r="B34" s="137"/>
      <c r="C34" s="127"/>
      <c r="D34" s="127"/>
      <c r="E34" s="258">
        <f>+F273</f>
        <v>295.35166666666669</v>
      </c>
      <c r="F34" s="128">
        <f t="shared" si="0"/>
        <v>1.8009281982978239E-2</v>
      </c>
      <c r="G34" s="44"/>
    </row>
    <row r="35" spans="1:7" s="11" customFormat="1" ht="15.75" customHeight="1" x14ac:dyDescent="0.2">
      <c r="A35" s="136" t="str">
        <f>A275</f>
        <v>5. Monitoramento da Frota</v>
      </c>
      <c r="B35" s="137"/>
      <c r="C35" s="127"/>
      <c r="D35" s="127"/>
      <c r="E35" s="258">
        <f>+F284</f>
        <v>56.25</v>
      </c>
      <c r="F35" s="128">
        <f t="shared" si="0"/>
        <v>3.4298845270638702E-3</v>
      </c>
      <c r="G35" s="44"/>
    </row>
    <row r="36" spans="1:7" s="11" customFormat="1" ht="15.75" customHeight="1" thickBot="1" x14ac:dyDescent="0.25">
      <c r="A36" s="136" t="str">
        <f>A288</f>
        <v>6. Benefícios e Despesas Indiretas - BDI</v>
      </c>
      <c r="B36" s="137"/>
      <c r="C36" s="127"/>
      <c r="D36" s="127"/>
      <c r="E36" s="260">
        <f>+F294</f>
        <v>3393.4109908644982</v>
      </c>
      <c r="F36" s="128">
        <f t="shared" si="0"/>
        <v>0.20691569513839322</v>
      </c>
      <c r="G36" s="44"/>
    </row>
    <row r="37" spans="1:7" s="4" customFormat="1" ht="15.75" customHeight="1" thickBot="1" x14ac:dyDescent="0.25">
      <c r="A37" s="42" t="s">
        <v>243</v>
      </c>
      <c r="B37" s="43"/>
      <c r="C37" s="26"/>
      <c r="D37" s="26"/>
      <c r="E37" s="114">
        <f>E17+E25+E26+E34+E35+E36</f>
        <v>16399.969024074533</v>
      </c>
      <c r="F37" s="143">
        <f>F17+F25+F26+F34+F35+F36</f>
        <v>0.99999999999999989</v>
      </c>
      <c r="G37" s="6"/>
    </row>
    <row r="39" spans="1:7" ht="13.5" thickBot="1" x14ac:dyDescent="0.25"/>
    <row r="40" spans="1:7" s="4" customFormat="1" ht="15" customHeight="1" thickBot="1" x14ac:dyDescent="0.25">
      <c r="A40" s="442" t="s">
        <v>99</v>
      </c>
      <c r="B40" s="443"/>
      <c r="C40" s="443"/>
      <c r="D40" s="443"/>
      <c r="E40" s="444"/>
      <c r="F40" s="10"/>
      <c r="G40" s="6"/>
    </row>
    <row r="41" spans="1:7" s="4" customFormat="1" ht="15" customHeight="1" thickBot="1" x14ac:dyDescent="0.25">
      <c r="A41" s="439" t="s">
        <v>41</v>
      </c>
      <c r="B41" s="440"/>
      <c r="C41" s="440"/>
      <c r="D41" s="441"/>
      <c r="E41" s="48" t="s">
        <v>42</v>
      </c>
      <c r="F41" s="10"/>
      <c r="G41" s="6"/>
    </row>
    <row r="42" spans="1:7" s="4" customFormat="1" ht="15" customHeight="1" x14ac:dyDescent="0.2">
      <c r="A42" s="73" t="str">
        <f>+A56</f>
        <v>1.1. Coletor Turno Dia</v>
      </c>
      <c r="B42" s="74"/>
      <c r="C42" s="74"/>
      <c r="D42" s="75"/>
      <c r="E42" s="76">
        <f>C66</f>
        <v>3</v>
      </c>
      <c r="F42" s="10"/>
      <c r="G42" s="6"/>
    </row>
    <row r="43" spans="1:7" s="4" customFormat="1" ht="15" hidden="1" customHeight="1" x14ac:dyDescent="0.2">
      <c r="A43" s="67" t="str">
        <f>+A69</f>
        <v>1.2. Coletor Turno Noite</v>
      </c>
      <c r="B43" s="66"/>
      <c r="C43" s="66"/>
      <c r="D43" s="77"/>
      <c r="E43" s="70">
        <f>C85</f>
        <v>0</v>
      </c>
      <c r="F43" s="10"/>
      <c r="G43" s="6"/>
    </row>
    <row r="44" spans="1:7" s="4" customFormat="1" ht="15" customHeight="1" x14ac:dyDescent="0.2">
      <c r="A44" s="67" t="str">
        <f>+A88</f>
        <v>1.3. Motorista Turno do Dia</v>
      </c>
      <c r="B44" s="66"/>
      <c r="C44" s="66"/>
      <c r="D44" s="77"/>
      <c r="E44" s="70">
        <f>C100</f>
        <v>1</v>
      </c>
      <c r="F44" s="10"/>
      <c r="G44" s="6"/>
    </row>
    <row r="45" spans="1:7" s="4" customFormat="1" ht="15" customHeight="1" x14ac:dyDescent="0.2">
      <c r="A45" s="67" t="str">
        <f>+A104</f>
        <v>1.4. Encarregado/Supervisor</v>
      </c>
      <c r="B45" s="66"/>
      <c r="C45" s="66"/>
      <c r="D45" s="77"/>
      <c r="E45" s="70">
        <f>C122</f>
        <v>1</v>
      </c>
      <c r="F45" s="10"/>
      <c r="G45" s="6"/>
    </row>
    <row r="46" spans="1:7" s="4" customFormat="1" ht="15" customHeight="1" thickBot="1" x14ac:dyDescent="0.25">
      <c r="A46" s="71" t="s">
        <v>60</v>
      </c>
      <c r="B46" s="72"/>
      <c r="C46" s="72"/>
      <c r="D46" s="78"/>
      <c r="E46" s="79">
        <f>SUM(E42:E45)</f>
        <v>5</v>
      </c>
      <c r="F46" s="10"/>
      <c r="G46" s="6"/>
    </row>
    <row r="47" spans="1:7" s="4" customFormat="1" ht="15" customHeight="1" thickBot="1" x14ac:dyDescent="0.25">
      <c r="A47" s="129"/>
      <c r="B47" s="130"/>
      <c r="C47" s="59"/>
      <c r="D47" s="59"/>
      <c r="E47" s="131"/>
      <c r="F47" s="10"/>
      <c r="G47" s="6"/>
    </row>
    <row r="48" spans="1:7" s="4" customFormat="1" ht="15" customHeight="1" x14ac:dyDescent="0.2">
      <c r="A48" s="429" t="s">
        <v>58</v>
      </c>
      <c r="B48" s="430"/>
      <c r="C48" s="430"/>
      <c r="D48" s="430"/>
      <c r="E48" s="48" t="s">
        <v>42</v>
      </c>
      <c r="F48" s="9"/>
      <c r="G48" s="6"/>
    </row>
    <row r="49" spans="1:7" s="4" customFormat="1" ht="15" customHeight="1" thickBot="1" x14ac:dyDescent="0.25">
      <c r="A49" s="132" t="str">
        <f>+A184</f>
        <v>3.1. Veículo Coletor com compactador</v>
      </c>
      <c r="B49" s="133"/>
      <c r="C49" s="133"/>
      <c r="D49" s="134"/>
      <c r="E49" s="135">
        <f>C199</f>
        <v>1.1000000000000001</v>
      </c>
      <c r="F49" s="9"/>
      <c r="G49" s="6"/>
    </row>
    <row r="50" spans="1:7" s="4" customFormat="1" ht="15" customHeight="1" x14ac:dyDescent="0.2">
      <c r="A50" s="59"/>
      <c r="B50" s="59"/>
      <c r="C50" s="59"/>
      <c r="D50" s="54"/>
      <c r="E50" s="251"/>
      <c r="F50" s="9"/>
      <c r="G50" s="6"/>
    </row>
    <row r="51" spans="1:7" s="4" customFormat="1" ht="13.5" thickBot="1" x14ac:dyDescent="0.25">
      <c r="A51" s="59"/>
      <c r="B51" s="59"/>
      <c r="C51" s="59"/>
      <c r="D51" s="54"/>
      <c r="E51" s="68"/>
      <c r="F51" s="9"/>
      <c r="G51" s="6"/>
    </row>
    <row r="52" spans="1:7" s="11" customFormat="1" ht="15.75" customHeight="1" thickBot="1" x14ac:dyDescent="0.25">
      <c r="A52" s="262" t="s">
        <v>195</v>
      </c>
      <c r="B52" s="328">
        <f>Horários!F25/Horários!F26</f>
        <v>0.34090909090909088</v>
      </c>
      <c r="C52" s="35"/>
      <c r="D52" s="34"/>
      <c r="E52" s="156"/>
      <c r="G52" s="44"/>
    </row>
    <row r="53" spans="1:7" s="4" customFormat="1" ht="15.75" customHeight="1" x14ac:dyDescent="0.2">
      <c r="A53" s="59"/>
      <c r="B53" s="59"/>
      <c r="C53" s="59"/>
      <c r="D53" s="54"/>
      <c r="E53" s="68"/>
      <c r="F53" s="9"/>
      <c r="G53" s="6"/>
    </row>
    <row r="54" spans="1:7" ht="13.15" customHeight="1" x14ac:dyDescent="0.2">
      <c r="A54" s="11" t="s">
        <v>49</v>
      </c>
    </row>
    <row r="55" spans="1:7" ht="11.25" customHeight="1" x14ac:dyDescent="0.2"/>
    <row r="56" spans="1:7" ht="13.9" customHeight="1" thickBot="1" x14ac:dyDescent="0.25">
      <c r="A56" s="9" t="s">
        <v>102</v>
      </c>
    </row>
    <row r="57" spans="1:7" ht="13.9" customHeight="1" thickBot="1" x14ac:dyDescent="0.25">
      <c r="A57" s="60" t="s">
        <v>65</v>
      </c>
      <c r="B57" s="61" t="s">
        <v>66</v>
      </c>
      <c r="C57" s="61" t="s">
        <v>42</v>
      </c>
      <c r="D57" s="62" t="s">
        <v>239</v>
      </c>
      <c r="E57" s="62" t="s">
        <v>67</v>
      </c>
      <c r="F57" s="63" t="s">
        <v>68</v>
      </c>
    </row>
    <row r="58" spans="1:7" ht="13.15" customHeight="1" x14ac:dyDescent="0.2">
      <c r="A58" s="13" t="s">
        <v>216</v>
      </c>
      <c r="B58" s="14" t="s">
        <v>8</v>
      </c>
      <c r="C58" s="14">
        <v>1</v>
      </c>
      <c r="D58" s="327">
        <v>1278.2</v>
      </c>
      <c r="E58" s="15">
        <f>C58*D58</f>
        <v>1278.2</v>
      </c>
    </row>
    <row r="59" spans="1:7" hidden="1" x14ac:dyDescent="0.2">
      <c r="A59" s="16" t="s">
        <v>36</v>
      </c>
      <c r="B59" s="17" t="s">
        <v>0</v>
      </c>
      <c r="C59" s="88"/>
      <c r="D59" s="18">
        <f>D58/220*2</f>
        <v>11.620000000000001</v>
      </c>
      <c r="E59" s="18">
        <f>C59*D59</f>
        <v>0</v>
      </c>
      <c r="G59" s="10" t="s">
        <v>255</v>
      </c>
    </row>
    <row r="60" spans="1:7" ht="13.15" hidden="1" customHeight="1" x14ac:dyDescent="0.2">
      <c r="A60" s="16" t="s">
        <v>37</v>
      </c>
      <c r="B60" s="17" t="s">
        <v>0</v>
      </c>
      <c r="C60" s="88"/>
      <c r="D60" s="18">
        <f>D58/220*1.5</f>
        <v>8.7149999999999999</v>
      </c>
      <c r="E60" s="18">
        <f>C60*D60</f>
        <v>0</v>
      </c>
      <c r="G60" s="10" t="s">
        <v>257</v>
      </c>
    </row>
    <row r="61" spans="1:7" ht="13.15" hidden="1" customHeight="1" x14ac:dyDescent="0.2">
      <c r="A61" s="16" t="s">
        <v>220</v>
      </c>
      <c r="B61" s="17" t="s">
        <v>35</v>
      </c>
      <c r="D61" s="18">
        <f>63/302*(SUM(E59:E60))</f>
        <v>0</v>
      </c>
      <c r="E61" s="18">
        <f>D61</f>
        <v>0</v>
      </c>
      <c r="G61" s="10" t="s">
        <v>219</v>
      </c>
    </row>
    <row r="62" spans="1:7" x14ac:dyDescent="0.2">
      <c r="A62" s="16" t="s">
        <v>1</v>
      </c>
      <c r="B62" s="17" t="s">
        <v>2</v>
      </c>
      <c r="C62" s="17">
        <v>40</v>
      </c>
      <c r="D62" s="83">
        <f>SUM(E58:E61)</f>
        <v>1278.2</v>
      </c>
      <c r="E62" s="18">
        <f>C62*D62/100</f>
        <v>511.28</v>
      </c>
    </row>
    <row r="63" spans="1:7" x14ac:dyDescent="0.2">
      <c r="A63" s="116" t="s">
        <v>3</v>
      </c>
      <c r="B63" s="117"/>
      <c r="C63" s="117"/>
      <c r="D63" s="118"/>
      <c r="E63" s="119">
        <f>SUM(E58:E62)</f>
        <v>1789.48</v>
      </c>
    </row>
    <row r="64" spans="1:7" x14ac:dyDescent="0.2">
      <c r="A64" s="16" t="s">
        <v>4</v>
      </c>
      <c r="B64" s="17" t="s">
        <v>2</v>
      </c>
      <c r="C64" s="141">
        <f>'3.Encargos Sociais'!$C$38*100</f>
        <v>72.231660000000005</v>
      </c>
      <c r="D64" s="18">
        <f>E63</f>
        <v>1789.48</v>
      </c>
      <c r="E64" s="18">
        <f>D64*C64/100</f>
        <v>1292.571109368</v>
      </c>
    </row>
    <row r="65" spans="1:7" x14ac:dyDescent="0.2">
      <c r="A65" s="116" t="s">
        <v>75</v>
      </c>
      <c r="B65" s="117"/>
      <c r="C65" s="117"/>
      <c r="D65" s="118"/>
      <c r="E65" s="119">
        <f>E63+E64</f>
        <v>3082.0511093679997</v>
      </c>
    </row>
    <row r="66" spans="1:7" ht="13.5" thickBot="1" x14ac:dyDescent="0.25">
      <c r="A66" s="16" t="s">
        <v>5</v>
      </c>
      <c r="B66" s="17" t="s">
        <v>6</v>
      </c>
      <c r="C66" s="86">
        <v>3</v>
      </c>
      <c r="D66" s="18">
        <f>E65</f>
        <v>3082.0511093679997</v>
      </c>
      <c r="E66" s="18">
        <f>C66*D66</f>
        <v>9246.1533281039992</v>
      </c>
      <c r="G66" s="6"/>
    </row>
    <row r="67" spans="1:7" ht="13.9" customHeight="1" thickBot="1" x14ac:dyDescent="0.25">
      <c r="D67" s="123" t="s">
        <v>194</v>
      </c>
      <c r="E67" s="329">
        <f>$B$52</f>
        <v>0.34090909090909088</v>
      </c>
      <c r="F67" s="124">
        <f>E66*E67</f>
        <v>3152.0977254899994</v>
      </c>
      <c r="G67" s="6"/>
    </row>
    <row r="68" spans="1:7" ht="11.25" customHeight="1" x14ac:dyDescent="0.2"/>
    <row r="69" spans="1:7" ht="13.5" hidden="1" thickBot="1" x14ac:dyDescent="0.25">
      <c r="A69" s="9" t="s">
        <v>93</v>
      </c>
    </row>
    <row r="70" spans="1:7" ht="13.5" hidden="1" thickBot="1" x14ac:dyDescent="0.25">
      <c r="A70" s="60" t="s">
        <v>65</v>
      </c>
      <c r="B70" s="61" t="s">
        <v>66</v>
      </c>
      <c r="C70" s="61" t="s">
        <v>42</v>
      </c>
      <c r="D70" s="62" t="s">
        <v>239</v>
      </c>
      <c r="E70" s="62" t="s">
        <v>67</v>
      </c>
      <c r="F70" s="63" t="s">
        <v>68</v>
      </c>
    </row>
    <row r="71" spans="1:7" hidden="1" x14ac:dyDescent="0.2">
      <c r="A71" s="13" t="s">
        <v>216</v>
      </c>
      <c r="B71" s="14" t="s">
        <v>8</v>
      </c>
      <c r="C71" s="14">
        <v>1</v>
      </c>
      <c r="D71" s="15">
        <f>D58</f>
        <v>1278.2</v>
      </c>
      <c r="E71" s="15">
        <f>C71*D71</f>
        <v>1278.2</v>
      </c>
    </row>
    <row r="72" spans="1:7" hidden="1" x14ac:dyDescent="0.2">
      <c r="A72" s="16" t="s">
        <v>7</v>
      </c>
      <c r="B72" s="17" t="s">
        <v>100</v>
      </c>
      <c r="C72" s="88"/>
      <c r="D72" s="18"/>
      <c r="E72" s="18"/>
    </row>
    <row r="73" spans="1:7" hidden="1" x14ac:dyDescent="0.2">
      <c r="A73" s="16"/>
      <c r="B73" s="17" t="s">
        <v>104</v>
      </c>
      <c r="C73" s="120">
        <f>C72*8/7</f>
        <v>0</v>
      </c>
      <c r="D73" s="18">
        <f>D71/220*0.2</f>
        <v>1.1620000000000001</v>
      </c>
      <c r="E73" s="18">
        <f>C72*D73</f>
        <v>0</v>
      </c>
    </row>
    <row r="74" spans="1:7" hidden="1" x14ac:dyDescent="0.2">
      <c r="A74" s="16" t="s">
        <v>36</v>
      </c>
      <c r="B74" s="17" t="s">
        <v>0</v>
      </c>
      <c r="C74" s="88"/>
      <c r="D74" s="18">
        <f>D71/220*2</f>
        <v>11.620000000000001</v>
      </c>
      <c r="E74" s="18">
        <f>C74*D74</f>
        <v>0</v>
      </c>
      <c r="G74" s="10" t="s">
        <v>255</v>
      </c>
    </row>
    <row r="75" spans="1:7" hidden="1" x14ac:dyDescent="0.2">
      <c r="A75" s="16" t="s">
        <v>101</v>
      </c>
      <c r="B75" s="17" t="s">
        <v>100</v>
      </c>
      <c r="C75" s="88"/>
      <c r="D75" s="18"/>
      <c r="E75" s="18"/>
      <c r="G75" s="10" t="s">
        <v>256</v>
      </c>
    </row>
    <row r="76" spans="1:7" hidden="1" x14ac:dyDescent="0.2">
      <c r="A76" s="16"/>
      <c r="B76" s="17" t="s">
        <v>104</v>
      </c>
      <c r="C76" s="120">
        <f>C75*8/7</f>
        <v>0</v>
      </c>
      <c r="D76" s="18">
        <f>D71/220*2*1.2</f>
        <v>13.944000000000001</v>
      </c>
      <c r="E76" s="18">
        <f>C76*D76</f>
        <v>0</v>
      </c>
      <c r="G76" s="10" t="s">
        <v>256</v>
      </c>
    </row>
    <row r="77" spans="1:7" hidden="1" x14ac:dyDescent="0.2">
      <c r="A77" s="16" t="s">
        <v>37</v>
      </c>
      <c r="B77" s="17" t="s">
        <v>0</v>
      </c>
      <c r="C77" s="88"/>
      <c r="D77" s="18">
        <f>D71/220*1.5</f>
        <v>8.7149999999999999</v>
      </c>
      <c r="E77" s="18">
        <f>C77*D77</f>
        <v>0</v>
      </c>
      <c r="G77" s="10" t="s">
        <v>257</v>
      </c>
    </row>
    <row r="78" spans="1:7" hidden="1" x14ac:dyDescent="0.2">
      <c r="A78" s="16" t="s">
        <v>218</v>
      </c>
      <c r="B78" s="17" t="s">
        <v>100</v>
      </c>
      <c r="C78" s="88"/>
      <c r="D78" s="18"/>
      <c r="E78" s="18"/>
      <c r="G78" s="10" t="s">
        <v>258</v>
      </c>
    </row>
    <row r="79" spans="1:7" hidden="1" x14ac:dyDescent="0.2">
      <c r="A79" s="16"/>
      <c r="B79" s="17" t="s">
        <v>104</v>
      </c>
      <c r="C79" s="18">
        <f>C78*8/7</f>
        <v>0</v>
      </c>
      <c r="D79" s="18">
        <f>D71/220*1.5*1.2</f>
        <v>10.458</v>
      </c>
      <c r="E79" s="18">
        <f>C79*D79</f>
        <v>0</v>
      </c>
      <c r="G79" s="10" t="s">
        <v>258</v>
      </c>
    </row>
    <row r="80" spans="1:7" ht="13.15" hidden="1" customHeight="1" x14ac:dyDescent="0.2">
      <c r="A80" s="16" t="s">
        <v>220</v>
      </c>
      <c r="B80" s="17" t="s">
        <v>35</v>
      </c>
      <c r="D80" s="18">
        <f>63/302*(SUM(E74:E79))</f>
        <v>0</v>
      </c>
      <c r="E80" s="18">
        <f>D80</f>
        <v>0</v>
      </c>
      <c r="G80" s="10" t="s">
        <v>219</v>
      </c>
    </row>
    <row r="81" spans="1:7" hidden="1" x14ac:dyDescent="0.2">
      <c r="A81" s="16" t="s">
        <v>1</v>
      </c>
      <c r="B81" s="17" t="s">
        <v>2</v>
      </c>
      <c r="C81" s="17">
        <f>+C62</f>
        <v>40</v>
      </c>
      <c r="D81" s="83">
        <f>SUM(E71:E80)</f>
        <v>1278.2</v>
      </c>
      <c r="E81" s="18">
        <f>C81*D81/100</f>
        <v>511.28</v>
      </c>
    </row>
    <row r="82" spans="1:7" hidden="1" x14ac:dyDescent="0.2">
      <c r="A82" s="116" t="s">
        <v>3</v>
      </c>
      <c r="B82" s="117"/>
      <c r="C82" s="117"/>
      <c r="D82" s="118"/>
      <c r="E82" s="119">
        <f>SUM(E71:E81)</f>
        <v>1789.48</v>
      </c>
    </row>
    <row r="83" spans="1:7" hidden="1" x14ac:dyDescent="0.2">
      <c r="A83" s="16" t="s">
        <v>4</v>
      </c>
      <c r="B83" s="17" t="s">
        <v>2</v>
      </c>
      <c r="C83" s="141">
        <f>'3.Encargos Sociais'!$C$38*100</f>
        <v>72.231660000000005</v>
      </c>
      <c r="D83" s="18">
        <f>E82</f>
        <v>1789.48</v>
      </c>
      <c r="E83" s="18">
        <f>D83*C83/100</f>
        <v>1292.571109368</v>
      </c>
    </row>
    <row r="84" spans="1:7" hidden="1" x14ac:dyDescent="0.2">
      <c r="A84" s="116" t="s">
        <v>75</v>
      </c>
      <c r="B84" s="117"/>
      <c r="C84" s="117"/>
      <c r="D84" s="118"/>
      <c r="E84" s="119">
        <f>E82+E83</f>
        <v>3082.0511093679997</v>
      </c>
    </row>
    <row r="85" spans="1:7" ht="13.5" hidden="1" thickBot="1" x14ac:dyDescent="0.25">
      <c r="A85" s="16" t="s">
        <v>5</v>
      </c>
      <c r="B85" s="17" t="s">
        <v>6</v>
      </c>
      <c r="C85" s="86"/>
      <c r="D85" s="18">
        <f>E84</f>
        <v>3082.0511093679997</v>
      </c>
      <c r="E85" s="18">
        <f>C85*D85</f>
        <v>0</v>
      </c>
    </row>
    <row r="86" spans="1:7" ht="13.5" hidden="1" thickBot="1" x14ac:dyDescent="0.25">
      <c r="D86" s="123" t="s">
        <v>194</v>
      </c>
      <c r="E86" s="50">
        <f>$B$52</f>
        <v>0.34090909090909088</v>
      </c>
      <c r="F86" s="124">
        <f>E85*E86</f>
        <v>0</v>
      </c>
    </row>
    <row r="87" spans="1:7" ht="11.25" customHeight="1" x14ac:dyDescent="0.2"/>
    <row r="88" spans="1:7" ht="13.5" thickBot="1" x14ac:dyDescent="0.25">
      <c r="A88" s="9" t="s">
        <v>103</v>
      </c>
    </row>
    <row r="89" spans="1:7" s="12" customFormat="1" ht="13.15" customHeight="1" thickBot="1" x14ac:dyDescent="0.25">
      <c r="A89" s="60" t="s">
        <v>65</v>
      </c>
      <c r="B89" s="61" t="s">
        <v>66</v>
      </c>
      <c r="C89" s="61" t="s">
        <v>42</v>
      </c>
      <c r="D89" s="62" t="s">
        <v>239</v>
      </c>
      <c r="E89" s="62" t="s">
        <v>67</v>
      </c>
      <c r="F89" s="63" t="s">
        <v>68</v>
      </c>
      <c r="G89" s="10"/>
    </row>
    <row r="90" spans="1:7" x14ac:dyDescent="0.2">
      <c r="A90" s="308" t="s">
        <v>299</v>
      </c>
      <c r="B90" s="14" t="s">
        <v>8</v>
      </c>
      <c r="C90" s="14">
        <v>1</v>
      </c>
      <c r="D90" s="327">
        <v>1741.82</v>
      </c>
      <c r="E90" s="15">
        <f>C90*D90</f>
        <v>1741.82</v>
      </c>
    </row>
    <row r="91" spans="1:7" x14ac:dyDescent="0.2">
      <c r="A91" s="308" t="s">
        <v>300</v>
      </c>
      <c r="B91" s="14" t="s">
        <v>8</v>
      </c>
      <c r="C91" s="14">
        <v>1</v>
      </c>
      <c r="D91" s="87">
        <v>998</v>
      </c>
      <c r="E91" s="15"/>
    </row>
    <row r="92" spans="1:7" hidden="1" x14ac:dyDescent="0.2">
      <c r="A92" s="16" t="s">
        <v>36</v>
      </c>
      <c r="B92" s="17" t="s">
        <v>0</v>
      </c>
      <c r="C92" s="88"/>
      <c r="D92" s="18">
        <f>D90/220*2</f>
        <v>15.834727272727273</v>
      </c>
      <c r="E92" s="18">
        <f>C92*D92</f>
        <v>0</v>
      </c>
      <c r="G92" s="10" t="s">
        <v>255</v>
      </c>
    </row>
    <row r="93" spans="1:7" hidden="1" x14ac:dyDescent="0.2">
      <c r="A93" s="16" t="s">
        <v>37</v>
      </c>
      <c r="B93" s="17" t="s">
        <v>0</v>
      </c>
      <c r="C93" s="88"/>
      <c r="D93" s="18">
        <f>D90/220*1.5</f>
        <v>11.876045454545455</v>
      </c>
      <c r="E93" s="18">
        <f>C93*D93</f>
        <v>0</v>
      </c>
      <c r="G93" s="10" t="s">
        <v>257</v>
      </c>
    </row>
    <row r="94" spans="1:7" ht="13.15" hidden="1" customHeight="1" x14ac:dyDescent="0.2">
      <c r="A94" s="16" t="s">
        <v>220</v>
      </c>
      <c r="B94" s="17" t="s">
        <v>35</v>
      </c>
      <c r="D94" s="18">
        <f>63/302*(SUM(E92:E93))</f>
        <v>0</v>
      </c>
      <c r="E94" s="18">
        <f>D94</f>
        <v>0</v>
      </c>
      <c r="G94" s="10" t="s">
        <v>219</v>
      </c>
    </row>
    <row r="95" spans="1:7" x14ac:dyDescent="0.2">
      <c r="A95" s="16" t="s">
        <v>217</v>
      </c>
      <c r="B95" s="17"/>
      <c r="C95" s="90">
        <v>1</v>
      </c>
      <c r="D95" s="18"/>
      <c r="E95" s="18"/>
    </row>
    <row r="96" spans="1:7" x14ac:dyDescent="0.2">
      <c r="A96" s="16" t="s">
        <v>1</v>
      </c>
      <c r="B96" s="17" t="s">
        <v>2</v>
      </c>
      <c r="C96" s="86">
        <v>20</v>
      </c>
      <c r="D96" s="83">
        <f>IF(C95=2,SUM(E90:E94),IF(C95=1,(SUM(E90:E94))*D91/D90,0))</f>
        <v>998</v>
      </c>
      <c r="E96" s="18">
        <f>C96*D96/100</f>
        <v>199.6</v>
      </c>
    </row>
    <row r="97" spans="1:7" s="11" customFormat="1" x14ac:dyDescent="0.2">
      <c r="A97" s="103" t="s">
        <v>3</v>
      </c>
      <c r="B97" s="117"/>
      <c r="C97" s="117"/>
      <c r="D97" s="118"/>
      <c r="E97" s="105">
        <f>SUM(E90:E96)</f>
        <v>1941.4199999999998</v>
      </c>
      <c r="F97" s="44"/>
      <c r="G97" s="44"/>
    </row>
    <row r="98" spans="1:7" x14ac:dyDescent="0.2">
      <c r="A98" s="16" t="s">
        <v>4</v>
      </c>
      <c r="B98" s="17" t="s">
        <v>2</v>
      </c>
      <c r="C98" s="141">
        <f>'3.Encargos Sociais'!$C$38*100</f>
        <v>72.231660000000005</v>
      </c>
      <c r="D98" s="18">
        <f>E97</f>
        <v>1941.4199999999998</v>
      </c>
      <c r="E98" s="18">
        <f>D98*C98/100</f>
        <v>1402.319893572</v>
      </c>
    </row>
    <row r="99" spans="1:7" s="11" customFormat="1" x14ac:dyDescent="0.2">
      <c r="A99" s="103" t="s">
        <v>259</v>
      </c>
      <c r="B99" s="268"/>
      <c r="C99" s="268"/>
      <c r="D99" s="269"/>
      <c r="E99" s="105">
        <f>E97+E98</f>
        <v>3343.7398935719998</v>
      </c>
      <c r="F99" s="44"/>
      <c r="G99" s="44"/>
    </row>
    <row r="100" spans="1:7" ht="13.5" thickBot="1" x14ac:dyDescent="0.25">
      <c r="A100" s="16" t="s">
        <v>5</v>
      </c>
      <c r="B100" s="17" t="s">
        <v>6</v>
      </c>
      <c r="C100" s="86">
        <v>1</v>
      </c>
      <c r="D100" s="18">
        <f>E99</f>
        <v>3343.7398935719998</v>
      </c>
      <c r="E100" s="18">
        <f>C100*D100</f>
        <v>3343.7398935719998</v>
      </c>
    </row>
    <row r="101" spans="1:7" ht="13.5" thickBot="1" x14ac:dyDescent="0.25">
      <c r="A101" s="7" t="s">
        <v>325</v>
      </c>
      <c r="D101" s="123" t="s">
        <v>194</v>
      </c>
      <c r="E101" s="329">
        <f>Horários!F37/Horários!F38</f>
        <v>0.51136363636363635</v>
      </c>
      <c r="F101" s="124">
        <f>E100*E101</f>
        <v>1709.8669910311362</v>
      </c>
    </row>
    <row r="102" spans="1:7" ht="11.25" customHeight="1" x14ac:dyDescent="0.2">
      <c r="A102" s="7" t="s">
        <v>402</v>
      </c>
    </row>
    <row r="103" spans="1:7" ht="11.25" customHeight="1" x14ac:dyDescent="0.2">
      <c r="A103" s="7"/>
    </row>
    <row r="104" spans="1:7" ht="13.5" thickBot="1" x14ac:dyDescent="0.25">
      <c r="A104" s="7" t="s">
        <v>408</v>
      </c>
    </row>
    <row r="105" spans="1:7" ht="13.5" thickBot="1" x14ac:dyDescent="0.25">
      <c r="A105" s="60" t="s">
        <v>65</v>
      </c>
      <c r="B105" s="61" t="s">
        <v>66</v>
      </c>
      <c r="C105" s="61" t="s">
        <v>42</v>
      </c>
      <c r="D105" s="62" t="s">
        <v>239</v>
      </c>
      <c r="E105" s="62" t="s">
        <v>67</v>
      </c>
      <c r="F105" s="63" t="s">
        <v>68</v>
      </c>
    </row>
    <row r="106" spans="1:7" x14ac:dyDescent="0.2">
      <c r="A106" s="308" t="s">
        <v>299</v>
      </c>
      <c r="B106" s="14" t="s">
        <v>8</v>
      </c>
      <c r="C106" s="14">
        <v>1</v>
      </c>
      <c r="D106" s="15">
        <v>2600</v>
      </c>
      <c r="E106" s="15">
        <f>C106*D106</f>
        <v>2600</v>
      </c>
    </row>
    <row r="107" spans="1:7" hidden="1" x14ac:dyDescent="0.2">
      <c r="A107" s="308" t="s">
        <v>300</v>
      </c>
      <c r="B107" s="14" t="s">
        <v>8</v>
      </c>
      <c r="C107" s="14">
        <v>1</v>
      </c>
      <c r="D107" s="18">
        <f>D91</f>
        <v>998</v>
      </c>
      <c r="E107" s="18"/>
    </row>
    <row r="108" spans="1:7" hidden="1" x14ac:dyDescent="0.2">
      <c r="A108" s="16" t="s">
        <v>7</v>
      </c>
      <c r="B108" s="17" t="s">
        <v>100</v>
      </c>
      <c r="C108" s="88"/>
      <c r="D108" s="16"/>
      <c r="E108" s="16"/>
    </row>
    <row r="109" spans="1:7" hidden="1" x14ac:dyDescent="0.2">
      <c r="A109" s="16"/>
      <c r="B109" s="17" t="s">
        <v>104</v>
      </c>
      <c r="C109" s="18">
        <f>C108*8/7</f>
        <v>0</v>
      </c>
      <c r="D109" s="18">
        <f>D106/220*0.2</f>
        <v>2.3636363636363638</v>
      </c>
      <c r="E109" s="18">
        <f>C108*D109</f>
        <v>0</v>
      </c>
    </row>
    <row r="110" spans="1:7" hidden="1" x14ac:dyDescent="0.2">
      <c r="A110" s="16" t="s">
        <v>36</v>
      </c>
      <c r="B110" s="17" t="s">
        <v>0</v>
      </c>
      <c r="C110" s="88"/>
      <c r="D110" s="18">
        <f>D106/220*2</f>
        <v>23.636363636363637</v>
      </c>
      <c r="E110" s="18">
        <f>C110*D110</f>
        <v>0</v>
      </c>
      <c r="G110" s="10" t="s">
        <v>255</v>
      </c>
    </row>
    <row r="111" spans="1:7" hidden="1" x14ac:dyDescent="0.2">
      <c r="A111" s="16" t="s">
        <v>101</v>
      </c>
      <c r="B111" s="17" t="s">
        <v>100</v>
      </c>
      <c r="C111" s="88"/>
      <c r="D111" s="18"/>
      <c r="E111" s="18"/>
      <c r="G111" s="10" t="s">
        <v>256</v>
      </c>
    </row>
    <row r="112" spans="1:7" hidden="1" x14ac:dyDescent="0.2">
      <c r="A112" s="16"/>
      <c r="B112" s="17" t="s">
        <v>104</v>
      </c>
      <c r="C112" s="18">
        <f>C111*8/7</f>
        <v>0</v>
      </c>
      <c r="D112" s="18">
        <f>D106/220*2*1.2</f>
        <v>28.363636363636363</v>
      </c>
      <c r="E112" s="18">
        <f>C112*D112</f>
        <v>0</v>
      </c>
      <c r="G112" s="10" t="s">
        <v>256</v>
      </c>
    </row>
    <row r="113" spans="1:7" hidden="1" x14ac:dyDescent="0.2">
      <c r="A113" s="16" t="s">
        <v>37</v>
      </c>
      <c r="B113" s="17" t="s">
        <v>0</v>
      </c>
      <c r="C113" s="88"/>
      <c r="D113" s="18">
        <f>D106/220*1.5</f>
        <v>17.727272727272727</v>
      </c>
      <c r="E113" s="18">
        <f>C113*D113</f>
        <v>0</v>
      </c>
      <c r="G113" s="10" t="s">
        <v>257</v>
      </c>
    </row>
    <row r="114" spans="1:7" hidden="1" x14ac:dyDescent="0.2">
      <c r="A114" s="16" t="s">
        <v>218</v>
      </c>
      <c r="B114" s="17" t="s">
        <v>100</v>
      </c>
      <c r="C114" s="88"/>
      <c r="D114" s="18"/>
      <c r="E114" s="18"/>
      <c r="G114" s="10" t="s">
        <v>258</v>
      </c>
    </row>
    <row r="115" spans="1:7" hidden="1" x14ac:dyDescent="0.2">
      <c r="A115" s="16"/>
      <c r="B115" s="17" t="s">
        <v>104</v>
      </c>
      <c r="C115" s="18">
        <f>C114*8/7</f>
        <v>0</v>
      </c>
      <c r="D115" s="18">
        <f>D106/220*1.5*1.2</f>
        <v>21.27272727272727</v>
      </c>
      <c r="E115" s="18">
        <f>C115*D115</f>
        <v>0</v>
      </c>
      <c r="G115" s="10" t="s">
        <v>258</v>
      </c>
    </row>
    <row r="116" spans="1:7" ht="13.15" hidden="1" customHeight="1" x14ac:dyDescent="0.2">
      <c r="A116" s="16" t="s">
        <v>220</v>
      </c>
      <c r="B116" s="17" t="s">
        <v>35</v>
      </c>
      <c r="D116" s="18">
        <f>63/302*(SUM(E110:E115))</f>
        <v>0</v>
      </c>
      <c r="E116" s="18">
        <f>D116</f>
        <v>0</v>
      </c>
      <c r="G116" s="10" t="s">
        <v>219</v>
      </c>
    </row>
    <row r="117" spans="1:7" hidden="1" x14ac:dyDescent="0.2">
      <c r="A117" s="16" t="s">
        <v>217</v>
      </c>
      <c r="B117" s="17"/>
      <c r="C117" s="90"/>
      <c r="D117" s="18"/>
      <c r="E117" s="18"/>
    </row>
    <row r="118" spans="1:7" hidden="1" x14ac:dyDescent="0.2">
      <c r="A118" s="16" t="s">
        <v>1</v>
      </c>
      <c r="B118" s="17" t="s">
        <v>2</v>
      </c>
      <c r="C118" s="83">
        <f>+C96</f>
        <v>20</v>
      </c>
      <c r="D118" s="83">
        <f>IF(C117=2,SUM(E106:E116),IF(C117=1,SUM(E106:E116)*D107/D106,0))</f>
        <v>0</v>
      </c>
      <c r="E118" s="18">
        <f>C118*D118/100</f>
        <v>0</v>
      </c>
    </row>
    <row r="119" spans="1:7" s="11" customFormat="1" x14ac:dyDescent="0.2">
      <c r="A119" s="116" t="s">
        <v>3</v>
      </c>
      <c r="B119" s="117"/>
      <c r="C119" s="117"/>
      <c r="D119" s="118"/>
      <c r="E119" s="119">
        <f>SUM(E106:E118)</f>
        <v>2600</v>
      </c>
      <c r="F119" s="44"/>
      <c r="G119" s="44"/>
    </row>
    <row r="120" spans="1:7" x14ac:dyDescent="0.2">
      <c r="A120" s="16" t="s">
        <v>4</v>
      </c>
      <c r="B120" s="17" t="s">
        <v>2</v>
      </c>
      <c r="C120" s="141">
        <f>'3.Encargos Sociais'!$C$38*100</f>
        <v>72.231660000000005</v>
      </c>
      <c r="D120" s="18">
        <f>E119</f>
        <v>2600</v>
      </c>
      <c r="E120" s="18">
        <f>D120*C120/100</f>
        <v>1878.0231600000002</v>
      </c>
    </row>
    <row r="121" spans="1:7" s="11" customFormat="1" x14ac:dyDescent="0.2">
      <c r="A121" s="116" t="s">
        <v>259</v>
      </c>
      <c r="B121" s="117"/>
      <c r="C121" s="117"/>
      <c r="D121" s="118"/>
      <c r="E121" s="119">
        <f>E119+E120</f>
        <v>4478.0231600000006</v>
      </c>
      <c r="F121" s="44"/>
      <c r="G121" s="44"/>
    </row>
    <row r="122" spans="1:7" ht="13.5" thickBot="1" x14ac:dyDescent="0.25">
      <c r="A122" s="16" t="s">
        <v>5</v>
      </c>
      <c r="B122" s="17" t="s">
        <v>6</v>
      </c>
      <c r="C122" s="86">
        <v>1</v>
      </c>
      <c r="D122" s="18">
        <f>E121</f>
        <v>4478.0231600000006</v>
      </c>
      <c r="E122" s="18">
        <f>C122*D122</f>
        <v>4478.0231600000006</v>
      </c>
    </row>
    <row r="123" spans="1:7" ht="13.5" thickBot="1" x14ac:dyDescent="0.25">
      <c r="A123" s="11" t="s">
        <v>443</v>
      </c>
      <c r="D123" s="123" t="s">
        <v>194</v>
      </c>
      <c r="E123" s="329">
        <f>4/44</f>
        <v>9.0909090909090912E-2</v>
      </c>
      <c r="F123" s="124">
        <f>E122*E123</f>
        <v>407.09301454545459</v>
      </c>
    </row>
    <row r="124" spans="1:7" ht="11.25" customHeight="1" x14ac:dyDescent="0.2">
      <c r="G124" s="9"/>
    </row>
    <row r="125" spans="1:7" ht="13.5" thickBot="1" x14ac:dyDescent="0.25">
      <c r="A125" s="9" t="s">
        <v>105</v>
      </c>
      <c r="B125" s="93"/>
      <c r="D125" s="9"/>
      <c r="E125" s="350"/>
      <c r="G125" s="9"/>
    </row>
    <row r="126" spans="1:7" ht="13.5" thickBot="1" x14ac:dyDescent="0.25">
      <c r="A126" s="60" t="s">
        <v>65</v>
      </c>
      <c r="B126" s="61" t="s">
        <v>66</v>
      </c>
      <c r="C126" s="61" t="s">
        <v>42</v>
      </c>
      <c r="D126" s="62" t="s">
        <v>239</v>
      </c>
      <c r="E126" s="62" t="s">
        <v>67</v>
      </c>
      <c r="F126" s="63" t="s">
        <v>68</v>
      </c>
      <c r="G126" s="9"/>
    </row>
    <row r="127" spans="1:7" x14ac:dyDescent="0.2">
      <c r="A127" s="16" t="s">
        <v>94</v>
      </c>
      <c r="B127" s="17" t="s">
        <v>35</v>
      </c>
      <c r="C127" s="94">
        <v>1</v>
      </c>
      <c r="D127" s="92">
        <v>4</v>
      </c>
      <c r="E127" s="18"/>
      <c r="G127" s="9"/>
    </row>
    <row r="128" spans="1:7" x14ac:dyDescent="0.2">
      <c r="A128" s="16" t="s">
        <v>95</v>
      </c>
      <c r="B128" s="17" t="s">
        <v>96</v>
      </c>
      <c r="C128" s="91">
        <v>13</v>
      </c>
      <c r="D128" s="18"/>
      <c r="E128" s="18"/>
      <c r="G128" s="9"/>
    </row>
    <row r="129" spans="1:7" x14ac:dyDescent="0.2">
      <c r="A129" s="16" t="s">
        <v>76</v>
      </c>
      <c r="B129" s="17" t="s">
        <v>9</v>
      </c>
      <c r="C129" s="37">
        <f>$C$128*2*(C66+C85)</f>
        <v>78</v>
      </c>
      <c r="D129" s="15">
        <f>IFERROR((($C$128*2*$D$127)-(E58*0.06*C128/26))/($C$128*2),"-")</f>
        <v>2.5251538461538461</v>
      </c>
      <c r="E129" s="18">
        <f>IFERROR(C129*D129,"-")</f>
        <v>196.96199999999999</v>
      </c>
      <c r="G129" s="9"/>
    </row>
    <row r="130" spans="1:7" ht="13.5" thickBot="1" x14ac:dyDescent="0.25">
      <c r="A130" s="13" t="s">
        <v>46</v>
      </c>
      <c r="B130" s="14" t="s">
        <v>9</v>
      </c>
      <c r="C130" s="37">
        <f>$C$128*2*(C100)</f>
        <v>26</v>
      </c>
      <c r="D130" s="15">
        <f>IFERROR((($C$128*2*$D$127)-(E90*0.06*C128/26))/($C$128*2),"-")</f>
        <v>1.9902076923076923</v>
      </c>
      <c r="E130" s="15">
        <f>IFERROR(C130*D130,"-")</f>
        <v>51.745400000000004</v>
      </c>
      <c r="G130" s="9"/>
    </row>
    <row r="131" spans="1:7" ht="13.5" thickBot="1" x14ac:dyDescent="0.25">
      <c r="F131" s="22">
        <f>SUM(E129:E130)</f>
        <v>248.70740000000001</v>
      </c>
      <c r="G131" s="9"/>
    </row>
    <row r="132" spans="1:7" ht="11.25" customHeight="1" x14ac:dyDescent="0.2">
      <c r="G132" s="9"/>
    </row>
    <row r="133" spans="1:7" ht="13.5" thickBot="1" x14ac:dyDescent="0.25">
      <c r="A133" s="9" t="s">
        <v>121</v>
      </c>
      <c r="F133" s="23"/>
      <c r="G133" s="9"/>
    </row>
    <row r="134" spans="1:7" ht="13.5" thickBot="1" x14ac:dyDescent="0.25">
      <c r="A134" s="60" t="s">
        <v>65</v>
      </c>
      <c r="B134" s="61" t="s">
        <v>66</v>
      </c>
      <c r="C134" s="61" t="s">
        <v>42</v>
      </c>
      <c r="D134" s="62" t="s">
        <v>239</v>
      </c>
      <c r="E134" s="62" t="s">
        <v>67</v>
      </c>
      <c r="F134" s="63" t="s">
        <v>68</v>
      </c>
      <c r="G134" s="9"/>
    </row>
    <row r="135" spans="1:7" x14ac:dyDescent="0.2">
      <c r="A135" s="16" t="str">
        <f>+A129</f>
        <v>Coletor</v>
      </c>
      <c r="B135" s="17" t="s">
        <v>10</v>
      </c>
      <c r="C135" s="102">
        <f>C128*(E42+E43)</f>
        <v>39</v>
      </c>
      <c r="D135" s="95">
        <v>13.55</v>
      </c>
      <c r="E135" s="50">
        <f>C135*D135</f>
        <v>528.45000000000005</v>
      </c>
      <c r="F135" s="23"/>
      <c r="G135" s="9"/>
    </row>
    <row r="136" spans="1:7" x14ac:dyDescent="0.2">
      <c r="A136" s="16" t="str">
        <f>A130</f>
        <v>Motorista</v>
      </c>
      <c r="B136" s="17" t="s">
        <v>10</v>
      </c>
      <c r="C136" s="102">
        <f>C128*(E44)</f>
        <v>13</v>
      </c>
      <c r="D136" s="95">
        <v>8.91</v>
      </c>
      <c r="E136" s="50">
        <f>C136*D136</f>
        <v>115.83</v>
      </c>
      <c r="F136" s="23"/>
      <c r="G136" s="9"/>
    </row>
    <row r="137" spans="1:7" ht="13.5" thickBot="1" x14ac:dyDescent="0.25">
      <c r="A137" s="346" t="s">
        <v>409</v>
      </c>
      <c r="B137" s="17" t="s">
        <v>10</v>
      </c>
      <c r="C137" s="102">
        <v>4</v>
      </c>
      <c r="D137" s="95">
        <v>13.55</v>
      </c>
      <c r="E137" s="50">
        <f>C137*D137</f>
        <v>54.2</v>
      </c>
      <c r="F137" s="23"/>
      <c r="G137" s="9"/>
    </row>
    <row r="138" spans="1:7" ht="13.5" thickBot="1" x14ac:dyDescent="0.25">
      <c r="F138" s="22">
        <f>SUM(E135:E137)</f>
        <v>698.48000000000013</v>
      </c>
      <c r="G138" s="9"/>
    </row>
    <row r="139" spans="1:7" x14ac:dyDescent="0.2">
      <c r="G139" s="9"/>
    </row>
    <row r="140" spans="1:7" ht="13.5" thickBot="1" x14ac:dyDescent="0.25">
      <c r="A140" s="9" t="s">
        <v>122</v>
      </c>
      <c r="F140" s="23"/>
      <c r="G140" s="9"/>
    </row>
    <row r="141" spans="1:7" ht="13.5" thickBot="1" x14ac:dyDescent="0.25">
      <c r="A141" s="60" t="s">
        <v>65</v>
      </c>
      <c r="B141" s="61" t="s">
        <v>66</v>
      </c>
      <c r="C141" s="61" t="s">
        <v>42</v>
      </c>
      <c r="D141" s="62" t="s">
        <v>239</v>
      </c>
      <c r="E141" s="62" t="s">
        <v>67</v>
      </c>
      <c r="F141" s="63" t="s">
        <v>68</v>
      </c>
      <c r="G141" s="9"/>
    </row>
    <row r="142" spans="1:7" hidden="1" x14ac:dyDescent="0.2">
      <c r="A142" s="16" t="str">
        <f>+A135</f>
        <v>Coletor</v>
      </c>
      <c r="B142" s="17" t="s">
        <v>10</v>
      </c>
      <c r="C142" s="102">
        <f>E42+E43</f>
        <v>3</v>
      </c>
      <c r="D142" s="95"/>
      <c r="E142" s="50">
        <f>C142*D142</f>
        <v>0</v>
      </c>
      <c r="F142" s="23"/>
      <c r="G142" s="9"/>
    </row>
    <row r="143" spans="1:7" ht="13.5" thickBot="1" x14ac:dyDescent="0.25">
      <c r="A143" s="16" t="str">
        <f>A136</f>
        <v>Motorista</v>
      </c>
      <c r="B143" s="17" t="s">
        <v>10</v>
      </c>
      <c r="C143" s="102">
        <v>1</v>
      </c>
      <c r="D143" s="95">
        <v>59.58</v>
      </c>
      <c r="E143" s="50">
        <f>C143*D143</f>
        <v>59.58</v>
      </c>
      <c r="F143" s="23"/>
      <c r="G143" s="9"/>
    </row>
    <row r="144" spans="1:7" ht="13.5" thickBot="1" x14ac:dyDescent="0.25">
      <c r="D144" s="123" t="s">
        <v>194</v>
      </c>
      <c r="E144" s="329">
        <f>E101</f>
        <v>0.51136363636363635</v>
      </c>
      <c r="F144" s="22">
        <f>SUM(E142:E143)*E144</f>
        <v>30.467045454545453</v>
      </c>
      <c r="G144" s="9"/>
    </row>
    <row r="145" spans="1:7" ht="13.5" thickBot="1" x14ac:dyDescent="0.25">
      <c r="G145" s="9"/>
    </row>
    <row r="146" spans="1:7" ht="13.5" thickBot="1" x14ac:dyDescent="0.25">
      <c r="A146" s="24" t="s">
        <v>97</v>
      </c>
      <c r="B146" s="25"/>
      <c r="C146" s="25"/>
      <c r="D146" s="26"/>
      <c r="E146" s="27"/>
      <c r="F146" s="22">
        <f>F144+F138+F131+F123+F101+F86+F67</f>
        <v>6246.7121765211359</v>
      </c>
      <c r="G146" s="9"/>
    </row>
    <row r="148" spans="1:7" x14ac:dyDescent="0.2">
      <c r="A148" s="11" t="s">
        <v>47</v>
      </c>
      <c r="G148" s="9"/>
    </row>
    <row r="149" spans="1:7" ht="11.25" customHeight="1" x14ac:dyDescent="0.2">
      <c r="G149" s="9"/>
    </row>
    <row r="150" spans="1:7" ht="13.9" customHeight="1" x14ac:dyDescent="0.2">
      <c r="A150" s="9" t="s">
        <v>196</v>
      </c>
      <c r="G150" s="9"/>
    </row>
    <row r="151" spans="1:7" ht="11.25" customHeight="1" thickBot="1" x14ac:dyDescent="0.25">
      <c r="G151" s="9"/>
    </row>
    <row r="152" spans="1:7" ht="27.75" customHeight="1" thickBot="1" x14ac:dyDescent="0.25">
      <c r="A152" s="60" t="s">
        <v>65</v>
      </c>
      <c r="B152" s="61" t="s">
        <v>66</v>
      </c>
      <c r="C152" s="270" t="s">
        <v>261</v>
      </c>
      <c r="D152" s="62" t="s">
        <v>239</v>
      </c>
      <c r="E152" s="62" t="s">
        <v>67</v>
      </c>
      <c r="F152" s="63" t="s">
        <v>68</v>
      </c>
      <c r="G152" s="9"/>
    </row>
    <row r="153" spans="1:7" x14ac:dyDescent="0.2">
      <c r="A153" s="308" t="s">
        <v>69</v>
      </c>
      <c r="B153" s="14" t="s">
        <v>10</v>
      </c>
      <c r="C153" s="344">
        <v>12</v>
      </c>
      <c r="D153" s="327">
        <v>118</v>
      </c>
      <c r="E153" s="15">
        <f>IFERROR(D153/C153,0)</f>
        <v>9.8333333333333339</v>
      </c>
      <c r="G153" s="9"/>
    </row>
    <row r="154" spans="1:7" ht="13.15" customHeight="1" x14ac:dyDescent="0.2">
      <c r="A154" s="16" t="s">
        <v>30</v>
      </c>
      <c r="B154" s="17" t="s">
        <v>10</v>
      </c>
      <c r="C154" s="344">
        <v>4</v>
      </c>
      <c r="D154" s="343">
        <v>46.7</v>
      </c>
      <c r="E154" s="15">
        <f t="shared" ref="E154:E162" si="1">IFERROR(D154/C154,0)</f>
        <v>11.675000000000001</v>
      </c>
      <c r="G154" s="9"/>
    </row>
    <row r="155" spans="1:7" x14ac:dyDescent="0.2">
      <c r="A155" s="16" t="s">
        <v>31</v>
      </c>
      <c r="B155" s="17" t="s">
        <v>10</v>
      </c>
      <c r="C155" s="344">
        <v>2</v>
      </c>
      <c r="D155" s="343">
        <v>35</v>
      </c>
      <c r="E155" s="15">
        <f t="shared" si="1"/>
        <v>17.5</v>
      </c>
      <c r="G155" s="9"/>
    </row>
    <row r="156" spans="1:7" ht="13.15" customHeight="1" x14ac:dyDescent="0.2">
      <c r="A156" s="16" t="s">
        <v>32</v>
      </c>
      <c r="B156" s="17" t="s">
        <v>10</v>
      </c>
      <c r="C156" s="344">
        <v>4</v>
      </c>
      <c r="D156" s="343">
        <v>13</v>
      </c>
      <c r="E156" s="15">
        <f t="shared" si="1"/>
        <v>3.25</v>
      </c>
      <c r="G156" s="9"/>
    </row>
    <row r="157" spans="1:7" ht="13.9" customHeight="1" x14ac:dyDescent="0.2">
      <c r="A157" s="16" t="s">
        <v>71</v>
      </c>
      <c r="B157" s="17" t="s">
        <v>50</v>
      </c>
      <c r="C157" s="344">
        <v>4</v>
      </c>
      <c r="D157" s="343">
        <v>36.9</v>
      </c>
      <c r="E157" s="15">
        <f t="shared" si="1"/>
        <v>9.2249999999999996</v>
      </c>
      <c r="G157" s="9"/>
    </row>
    <row r="158" spans="1:7" ht="13.15" customHeight="1" x14ac:dyDescent="0.2">
      <c r="A158" s="16" t="s">
        <v>98</v>
      </c>
      <c r="B158" s="17" t="s">
        <v>50</v>
      </c>
      <c r="C158" s="344">
        <v>2</v>
      </c>
      <c r="D158" s="343">
        <v>18</v>
      </c>
      <c r="E158" s="15">
        <f t="shared" si="1"/>
        <v>9</v>
      </c>
    </row>
    <row r="159" spans="1:7" x14ac:dyDescent="0.2">
      <c r="A159" s="16" t="s">
        <v>70</v>
      </c>
      <c r="B159" s="17" t="s">
        <v>10</v>
      </c>
      <c r="C159" s="344">
        <v>3</v>
      </c>
      <c r="D159" s="343">
        <v>23.6</v>
      </c>
      <c r="E159" s="15">
        <f t="shared" si="1"/>
        <v>7.8666666666666671</v>
      </c>
    </row>
    <row r="160" spans="1:7" s="1" customFormat="1" x14ac:dyDescent="0.2">
      <c r="A160" s="2" t="s">
        <v>11</v>
      </c>
      <c r="B160" s="3" t="s">
        <v>10</v>
      </c>
      <c r="C160" s="344">
        <v>4</v>
      </c>
      <c r="D160" s="343">
        <v>21</v>
      </c>
      <c r="E160" s="15">
        <f t="shared" si="1"/>
        <v>5.25</v>
      </c>
      <c r="F160" s="38"/>
      <c r="G160" s="38"/>
    </row>
    <row r="161" spans="1:7" x14ac:dyDescent="0.2">
      <c r="A161" s="16" t="s">
        <v>33</v>
      </c>
      <c r="B161" s="17" t="s">
        <v>50</v>
      </c>
      <c r="C161" s="344">
        <v>1</v>
      </c>
      <c r="D161" s="343">
        <v>31.49</v>
      </c>
      <c r="E161" s="15">
        <f t="shared" si="1"/>
        <v>31.49</v>
      </c>
    </row>
    <row r="162" spans="1:7" ht="13.15" customHeight="1" x14ac:dyDescent="0.2">
      <c r="A162" s="16" t="s">
        <v>64</v>
      </c>
      <c r="B162" s="17" t="s">
        <v>51</v>
      </c>
      <c r="C162" s="344">
        <v>2</v>
      </c>
      <c r="D162" s="343">
        <v>24</v>
      </c>
      <c r="E162" s="15">
        <f t="shared" si="1"/>
        <v>12</v>
      </c>
    </row>
    <row r="163" spans="1:7" x14ac:dyDescent="0.2">
      <c r="A163" s="16" t="s">
        <v>197</v>
      </c>
      <c r="B163" s="17" t="s">
        <v>123</v>
      </c>
      <c r="C163" s="345">
        <v>1</v>
      </c>
      <c r="D163" s="343">
        <v>60</v>
      </c>
      <c r="E163" s="18">
        <f t="shared" ref="E163:E164" si="2">C163*D163</f>
        <v>60</v>
      </c>
    </row>
    <row r="164" spans="1:7" ht="13.5" thickBot="1" x14ac:dyDescent="0.25">
      <c r="A164" s="16" t="s">
        <v>5</v>
      </c>
      <c r="B164" s="17" t="s">
        <v>6</v>
      </c>
      <c r="C164" s="69">
        <f>E42+E43</f>
        <v>3</v>
      </c>
      <c r="D164" s="18">
        <f>+SUM(E153:E163)</f>
        <v>177.08999999999997</v>
      </c>
      <c r="E164" s="18">
        <f t="shared" si="2"/>
        <v>531.27</v>
      </c>
    </row>
    <row r="165" spans="1:7" ht="13.5" thickBot="1" x14ac:dyDescent="0.25">
      <c r="D165" s="123" t="s">
        <v>194</v>
      </c>
      <c r="E165" s="329">
        <f>$B$52</f>
        <v>0.34090909090909088</v>
      </c>
      <c r="F165" s="124">
        <f>E164*E165</f>
        <v>181.11477272727271</v>
      </c>
    </row>
    <row r="166" spans="1:7" ht="11.25" customHeight="1" x14ac:dyDescent="0.2"/>
    <row r="167" spans="1:7" ht="13.9" customHeight="1" x14ac:dyDescent="0.2">
      <c r="A167" s="9" t="s">
        <v>198</v>
      </c>
    </row>
    <row r="168" spans="1:7" ht="11.25" customHeight="1" thickBot="1" x14ac:dyDescent="0.25"/>
    <row r="169" spans="1:7" ht="24.75" thickBot="1" x14ac:dyDescent="0.25">
      <c r="A169" s="60" t="s">
        <v>65</v>
      </c>
      <c r="B169" s="61" t="s">
        <v>66</v>
      </c>
      <c r="C169" s="270" t="s">
        <v>261</v>
      </c>
      <c r="D169" s="62" t="s">
        <v>239</v>
      </c>
      <c r="E169" s="62" t="s">
        <v>67</v>
      </c>
      <c r="F169" s="63" t="s">
        <v>68</v>
      </c>
    </row>
    <row r="170" spans="1:7" x14ac:dyDescent="0.2">
      <c r="A170" s="13" t="s">
        <v>69</v>
      </c>
      <c r="B170" s="14" t="s">
        <v>10</v>
      </c>
      <c r="C170" s="348">
        <f>C153</f>
        <v>12</v>
      </c>
      <c r="D170" s="15">
        <f>+D153</f>
        <v>118</v>
      </c>
      <c r="E170" s="15">
        <f>IFERROR(D170/C170,0)</f>
        <v>9.8333333333333339</v>
      </c>
    </row>
    <row r="171" spans="1:7" x14ac:dyDescent="0.2">
      <c r="A171" s="16" t="s">
        <v>30</v>
      </c>
      <c r="B171" s="17" t="s">
        <v>10</v>
      </c>
      <c r="C171" s="348">
        <f>C154</f>
        <v>4</v>
      </c>
      <c r="D171" s="18">
        <f>+D154</f>
        <v>46.7</v>
      </c>
      <c r="E171" s="15">
        <f t="shared" ref="E171:E175" si="3">IFERROR(D171/C171,0)</f>
        <v>11.675000000000001</v>
      </c>
    </row>
    <row r="172" spans="1:7" x14ac:dyDescent="0.2">
      <c r="A172" s="16" t="s">
        <v>31</v>
      </c>
      <c r="B172" s="17" t="s">
        <v>10</v>
      </c>
      <c r="C172" s="348">
        <f>C155</f>
        <v>2</v>
      </c>
      <c r="D172" s="18">
        <f>+D155</f>
        <v>35</v>
      </c>
      <c r="E172" s="15">
        <f t="shared" si="3"/>
        <v>17.5</v>
      </c>
    </row>
    <row r="173" spans="1:7" x14ac:dyDescent="0.2">
      <c r="A173" s="16" t="s">
        <v>71</v>
      </c>
      <c r="B173" s="17" t="s">
        <v>50</v>
      </c>
      <c r="C173" s="348">
        <f>C157</f>
        <v>4</v>
      </c>
      <c r="D173" s="18">
        <f>+D157</f>
        <v>36.9</v>
      </c>
      <c r="E173" s="15">
        <f t="shared" si="3"/>
        <v>9.2249999999999996</v>
      </c>
    </row>
    <row r="174" spans="1:7" x14ac:dyDescent="0.2">
      <c r="A174" s="16" t="s">
        <v>70</v>
      </c>
      <c r="B174" s="17" t="s">
        <v>10</v>
      </c>
      <c r="C174" s="348">
        <f>C159</f>
        <v>3</v>
      </c>
      <c r="D174" s="18">
        <f>+D159</f>
        <v>23.6</v>
      </c>
      <c r="E174" s="15">
        <f t="shared" si="3"/>
        <v>7.8666666666666671</v>
      </c>
      <c r="G174" s="9"/>
    </row>
    <row r="175" spans="1:7" x14ac:dyDescent="0.2">
      <c r="A175" s="16" t="s">
        <v>64</v>
      </c>
      <c r="B175" s="17" t="s">
        <v>51</v>
      </c>
      <c r="C175" s="348">
        <f>C162</f>
        <v>2</v>
      </c>
      <c r="D175" s="18">
        <f>+D162</f>
        <v>24</v>
      </c>
      <c r="E175" s="15">
        <f t="shared" si="3"/>
        <v>12</v>
      </c>
      <c r="G175" s="9"/>
    </row>
    <row r="176" spans="1:7" x14ac:dyDescent="0.2">
      <c r="A176" s="16" t="s">
        <v>197</v>
      </c>
      <c r="B176" s="17" t="s">
        <v>123</v>
      </c>
      <c r="C176" s="121">
        <v>1</v>
      </c>
      <c r="D176" s="87">
        <f>D163</f>
        <v>60</v>
      </c>
      <c r="E176" s="18">
        <f t="shared" ref="E176:E177" si="4">C176*D176</f>
        <v>60</v>
      </c>
      <c r="G176" s="9"/>
    </row>
    <row r="177" spans="1:10" ht="13.5" thickBot="1" x14ac:dyDescent="0.25">
      <c r="A177" s="16" t="s">
        <v>5</v>
      </c>
      <c r="B177" s="17" t="s">
        <v>6</v>
      </c>
      <c r="C177" s="69">
        <f>E44+E45</f>
        <v>2</v>
      </c>
      <c r="D177" s="18">
        <f>+SUM(E170:E176)</f>
        <v>128.1</v>
      </c>
      <c r="E177" s="18">
        <f t="shared" si="4"/>
        <v>256.2</v>
      </c>
      <c r="G177" s="9"/>
    </row>
    <row r="178" spans="1:10" ht="13.5" thickBot="1" x14ac:dyDescent="0.25">
      <c r="D178" s="123" t="s">
        <v>194</v>
      </c>
      <c r="E178" s="329">
        <f>E101</f>
        <v>0.51136363636363635</v>
      </c>
      <c r="F178" s="124">
        <f>E177*E178</f>
        <v>131.01136363636363</v>
      </c>
      <c r="G178" s="9"/>
    </row>
    <row r="179" spans="1:10" ht="11.25" customHeight="1" thickBot="1" x14ac:dyDescent="0.25">
      <c r="G179" s="9"/>
    </row>
    <row r="180" spans="1:10" ht="13.5" thickBot="1" x14ac:dyDescent="0.25">
      <c r="A180" s="24" t="s">
        <v>199</v>
      </c>
      <c r="B180" s="28"/>
      <c r="C180" s="28"/>
      <c r="D180" s="29"/>
      <c r="E180" s="30"/>
      <c r="F180" s="21">
        <f>+F165+F178</f>
        <v>312.12613636363631</v>
      </c>
      <c r="G180" s="9"/>
    </row>
    <row r="181" spans="1:10" ht="11.25" customHeight="1" x14ac:dyDescent="0.2">
      <c r="G181" s="9"/>
    </row>
    <row r="182" spans="1:10" x14ac:dyDescent="0.2">
      <c r="A182" s="11" t="s">
        <v>56</v>
      </c>
      <c r="G182" s="9"/>
    </row>
    <row r="183" spans="1:10" ht="11.25" customHeight="1" x14ac:dyDescent="0.2">
      <c r="B183" s="107"/>
      <c r="G183" s="9"/>
    </row>
    <row r="184" spans="1:10" x14ac:dyDescent="0.2">
      <c r="A184" s="7" t="s">
        <v>403</v>
      </c>
      <c r="G184" s="9"/>
    </row>
    <row r="185" spans="1:10" ht="11.25" customHeight="1" x14ac:dyDescent="0.2">
      <c r="G185" s="9"/>
    </row>
    <row r="186" spans="1:10" ht="13.5" thickBot="1" x14ac:dyDescent="0.25">
      <c r="A186" s="107" t="s">
        <v>48</v>
      </c>
      <c r="G186" s="9"/>
    </row>
    <row r="187" spans="1:10" ht="13.5" thickBot="1" x14ac:dyDescent="0.25">
      <c r="A187" s="60" t="s">
        <v>65</v>
      </c>
      <c r="B187" s="61" t="s">
        <v>66</v>
      </c>
      <c r="C187" s="61" t="s">
        <v>42</v>
      </c>
      <c r="D187" s="62" t="s">
        <v>239</v>
      </c>
      <c r="E187" s="62" t="s">
        <v>67</v>
      </c>
      <c r="F187" s="63" t="s">
        <v>68</v>
      </c>
      <c r="G187" s="9"/>
    </row>
    <row r="188" spans="1:10" x14ac:dyDescent="0.2">
      <c r="A188" s="13" t="s">
        <v>109</v>
      </c>
      <c r="B188" s="14" t="s">
        <v>10</v>
      </c>
      <c r="C188" s="276">
        <v>1</v>
      </c>
      <c r="D188" s="87">
        <v>213974</v>
      </c>
      <c r="E188" s="15">
        <f>C188*D188</f>
        <v>213974</v>
      </c>
      <c r="G188" s="9"/>
    </row>
    <row r="189" spans="1:10" x14ac:dyDescent="0.2">
      <c r="A189" s="16" t="s">
        <v>106</v>
      </c>
      <c r="B189" s="17" t="s">
        <v>107</v>
      </c>
      <c r="C189" s="86">
        <v>8</v>
      </c>
      <c r="D189" s="83"/>
      <c r="E189" s="18"/>
      <c r="G189" s="9"/>
    </row>
    <row r="190" spans="1:10" x14ac:dyDescent="0.2">
      <c r="A190" s="16" t="s">
        <v>212</v>
      </c>
      <c r="B190" s="17" t="s">
        <v>107</v>
      </c>
      <c r="C190" s="86">
        <v>4</v>
      </c>
      <c r="D190" s="18"/>
      <c r="E190" s="18"/>
      <c r="F190" s="20"/>
      <c r="I190" s="85"/>
      <c r="J190" s="85"/>
    </row>
    <row r="191" spans="1:10" x14ac:dyDescent="0.2">
      <c r="A191" s="16" t="s">
        <v>108</v>
      </c>
      <c r="B191" s="17" t="s">
        <v>2</v>
      </c>
      <c r="C191" s="141">
        <f>IFERROR(VLOOKUP(C189,'6. Depreciação'!A3:B17,2,FALSE),0)</f>
        <v>62.12</v>
      </c>
      <c r="D191" s="18">
        <f>E188</f>
        <v>213974</v>
      </c>
      <c r="E191" s="18">
        <f>C191*D191/100</f>
        <v>132920.6488</v>
      </c>
    </row>
    <row r="192" spans="1:10" ht="13.5" thickBot="1" x14ac:dyDescent="0.25">
      <c r="A192" s="279" t="s">
        <v>52</v>
      </c>
      <c r="B192" s="280" t="s">
        <v>8</v>
      </c>
      <c r="C192" s="280">
        <f>C189*12</f>
        <v>96</v>
      </c>
      <c r="D192" s="281">
        <f>IF(C190&lt;=C189,E191,0)</f>
        <v>132920.6488</v>
      </c>
      <c r="E192" s="281">
        <f>IFERROR(D192/C192,0)</f>
        <v>1384.5900916666667</v>
      </c>
    </row>
    <row r="193" spans="1:10" ht="13.5" thickTop="1" x14ac:dyDescent="0.2">
      <c r="A193" s="308" t="s">
        <v>404</v>
      </c>
      <c r="B193" s="14" t="s">
        <v>10</v>
      </c>
      <c r="C193" s="14">
        <f>C188</f>
        <v>1</v>
      </c>
      <c r="D193" s="87">
        <v>70000</v>
      </c>
      <c r="E193" s="15">
        <f>C193*D193</f>
        <v>70000</v>
      </c>
      <c r="G193" s="9"/>
    </row>
    <row r="194" spans="1:10" x14ac:dyDescent="0.2">
      <c r="A194" s="346" t="s">
        <v>106</v>
      </c>
      <c r="B194" s="17" t="s">
        <v>107</v>
      </c>
      <c r="C194" s="86">
        <v>8</v>
      </c>
      <c r="D194" s="18"/>
      <c r="E194" s="18"/>
    </row>
    <row r="195" spans="1:10" x14ac:dyDescent="0.2">
      <c r="A195" s="346" t="s">
        <v>405</v>
      </c>
      <c r="B195" s="17" t="s">
        <v>107</v>
      </c>
      <c r="C195" s="86">
        <v>4</v>
      </c>
      <c r="D195" s="18"/>
      <c r="E195" s="18"/>
      <c r="F195" s="20"/>
      <c r="I195" s="85"/>
      <c r="J195" s="85"/>
    </row>
    <row r="196" spans="1:10" x14ac:dyDescent="0.2">
      <c r="A196" s="346" t="s">
        <v>108</v>
      </c>
      <c r="B196" s="17" t="s">
        <v>2</v>
      </c>
      <c r="C196" s="142">
        <f>IFERROR(VLOOKUP(C194,'6. Depreciação'!A3:B17,2,FALSE),0)</f>
        <v>62.12</v>
      </c>
      <c r="D196" s="18">
        <f>E193</f>
        <v>70000</v>
      </c>
      <c r="E196" s="18">
        <f>C196*D196/100</f>
        <v>43484</v>
      </c>
    </row>
    <row r="197" spans="1:10" x14ac:dyDescent="0.2">
      <c r="A197" s="103" t="s">
        <v>406</v>
      </c>
      <c r="B197" s="104" t="s">
        <v>8</v>
      </c>
      <c r="C197" s="104">
        <f>C194*12</f>
        <v>96</v>
      </c>
      <c r="D197" s="105">
        <f>IF(C195&lt;=C194,E196,0)</f>
        <v>43484</v>
      </c>
      <c r="E197" s="105">
        <f>IFERROR(D197/C197,0)</f>
        <v>452.95833333333331</v>
      </c>
    </row>
    <row r="198" spans="1:10" x14ac:dyDescent="0.2">
      <c r="A198" s="116" t="s">
        <v>264</v>
      </c>
      <c r="B198" s="117"/>
      <c r="C198" s="117"/>
      <c r="D198" s="118"/>
      <c r="E198" s="119">
        <f>E192+E197</f>
        <v>1837.548425</v>
      </c>
    </row>
    <row r="199" spans="1:10" ht="13.5" thickBot="1" x14ac:dyDescent="0.25">
      <c r="A199" s="103" t="s">
        <v>265</v>
      </c>
      <c r="B199" s="104" t="s">
        <v>10</v>
      </c>
      <c r="C199" s="86">
        <v>1.1000000000000001</v>
      </c>
      <c r="D199" s="105">
        <f>E198</f>
        <v>1837.548425</v>
      </c>
      <c r="E199" s="119">
        <f>C199*D199</f>
        <v>2021.3032675000002</v>
      </c>
    </row>
    <row r="200" spans="1:10" ht="13.5" thickBot="1" x14ac:dyDescent="0.25">
      <c r="A200" s="275"/>
      <c r="B200" s="275"/>
      <c r="C200" s="275"/>
      <c r="D200" s="123" t="s">
        <v>194</v>
      </c>
      <c r="E200" s="329">
        <f>E101</f>
        <v>0.51136363636363635</v>
      </c>
      <c r="F200" s="21">
        <f>E199*E200</f>
        <v>1033.6209890625</v>
      </c>
    </row>
    <row r="201" spans="1:10" ht="11.25" customHeight="1" x14ac:dyDescent="0.2"/>
    <row r="202" spans="1:10" ht="13.5" thickBot="1" x14ac:dyDescent="0.25">
      <c r="A202" s="107" t="s">
        <v>113</v>
      </c>
    </row>
    <row r="203" spans="1:10" ht="13.5" thickBot="1" x14ac:dyDescent="0.25">
      <c r="A203" s="109" t="s">
        <v>65</v>
      </c>
      <c r="B203" s="110" t="s">
        <v>66</v>
      </c>
      <c r="C203" s="110" t="s">
        <v>42</v>
      </c>
      <c r="D203" s="62" t="s">
        <v>239</v>
      </c>
      <c r="E203" s="111" t="s">
        <v>67</v>
      </c>
      <c r="F203" s="63" t="s">
        <v>68</v>
      </c>
      <c r="I203" s="85"/>
      <c r="J203" s="85"/>
    </row>
    <row r="204" spans="1:10" x14ac:dyDescent="0.2">
      <c r="A204" s="16" t="s">
        <v>112</v>
      </c>
      <c r="B204" s="17" t="s">
        <v>10</v>
      </c>
      <c r="C204" s="276">
        <v>1</v>
      </c>
      <c r="D204" s="18">
        <v>213974</v>
      </c>
      <c r="E204" s="18">
        <f>C204*D204</f>
        <v>213974</v>
      </c>
      <c r="F204" s="20"/>
      <c r="I204" s="85"/>
      <c r="J204" s="85"/>
    </row>
    <row r="205" spans="1:10" x14ac:dyDescent="0.2">
      <c r="A205" s="16" t="s">
        <v>215</v>
      </c>
      <c r="B205" s="17" t="s">
        <v>2</v>
      </c>
      <c r="C205" s="86">
        <v>5.5</v>
      </c>
      <c r="D205" s="18"/>
      <c r="E205" s="18"/>
      <c r="F205" s="20"/>
      <c r="I205" s="85"/>
      <c r="J205" s="85"/>
    </row>
    <row r="206" spans="1:10" x14ac:dyDescent="0.2">
      <c r="A206" s="16" t="s">
        <v>213</v>
      </c>
      <c r="B206" s="17" t="s">
        <v>35</v>
      </c>
      <c r="C206" s="149">
        <f>IFERROR(IF(C190&lt;=C189,E188-(C191/(100*C189)*C190)*E188,E188-E191),0)</f>
        <v>147513.67560000002</v>
      </c>
      <c r="D206" s="18"/>
      <c r="E206" s="18"/>
      <c r="F206" s="20"/>
      <c r="I206" s="85"/>
      <c r="J206" s="85"/>
    </row>
    <row r="207" spans="1:10" x14ac:dyDescent="0.2">
      <c r="A207" s="16" t="s">
        <v>115</v>
      </c>
      <c r="B207" s="17" t="s">
        <v>35</v>
      </c>
      <c r="C207" s="83">
        <f>IFERROR(IF(C190&gt;=C189,C206,((((C206)-(E188-E191))*(((C189-C190)+1)/(2*(C189-C190))))+(E188-E191))),0)</f>
        <v>122591.05395000002</v>
      </c>
      <c r="D207" s="18"/>
      <c r="E207" s="18"/>
      <c r="F207" s="20"/>
      <c r="I207" s="85"/>
      <c r="J207" s="85"/>
    </row>
    <row r="208" spans="1:10" ht="13.5" thickBot="1" x14ac:dyDescent="0.25">
      <c r="A208" s="279" t="s">
        <v>116</v>
      </c>
      <c r="B208" s="280" t="s">
        <v>35</v>
      </c>
      <c r="C208" s="280"/>
      <c r="D208" s="282">
        <f>C205*C207/12/100</f>
        <v>561.87566393750012</v>
      </c>
      <c r="E208" s="281">
        <f>D208</f>
        <v>561.87566393750012</v>
      </c>
      <c r="F208" s="20"/>
      <c r="I208" s="85"/>
      <c r="J208" s="85"/>
    </row>
    <row r="209" spans="1:10" ht="13.5" thickTop="1" x14ac:dyDescent="0.2">
      <c r="A209" s="308" t="s">
        <v>372</v>
      </c>
      <c r="B209" s="14" t="s">
        <v>10</v>
      </c>
      <c r="C209" s="14">
        <f>C193</f>
        <v>1</v>
      </c>
      <c r="D209" s="15">
        <f>D193</f>
        <v>70000</v>
      </c>
      <c r="E209" s="15">
        <f>C209*D209</f>
        <v>70000</v>
      </c>
      <c r="F209" s="20"/>
      <c r="I209" s="85"/>
      <c r="J209" s="85"/>
    </row>
    <row r="210" spans="1:10" x14ac:dyDescent="0.2">
      <c r="A210" s="346" t="s">
        <v>215</v>
      </c>
      <c r="B210" s="17" t="s">
        <v>2</v>
      </c>
      <c r="C210" s="277">
        <f>C205</f>
        <v>5.5</v>
      </c>
      <c r="D210" s="18"/>
      <c r="E210" s="18"/>
      <c r="F210" s="20"/>
      <c r="I210" s="85"/>
      <c r="J210" s="85"/>
    </row>
    <row r="211" spans="1:10" x14ac:dyDescent="0.2">
      <c r="A211" s="16" t="s">
        <v>214</v>
      </c>
      <c r="B211" s="17" t="s">
        <v>35</v>
      </c>
      <c r="C211" s="149">
        <f>IFERROR(IF(C195&lt;=C194,E193-(C196/(100*C194)*C195)*E193,E193-E196),0)</f>
        <v>48258</v>
      </c>
      <c r="D211" s="18"/>
      <c r="E211" s="18"/>
      <c r="F211" s="20"/>
      <c r="I211" s="85"/>
      <c r="J211" s="85"/>
    </row>
    <row r="212" spans="1:10" x14ac:dyDescent="0.2">
      <c r="A212" s="346" t="s">
        <v>373</v>
      </c>
      <c r="B212" s="17" t="s">
        <v>35</v>
      </c>
      <c r="C212" s="83">
        <f>IFERROR(IF(C195&gt;=C194,C211,((((C211)-(E193-E196))*(((C194-C195)+1)/(2*(C194-C195))))+(E193-E196))),0)</f>
        <v>40104.75</v>
      </c>
      <c r="D212" s="18"/>
      <c r="E212" s="18"/>
      <c r="F212" s="20"/>
      <c r="I212" s="85"/>
      <c r="J212" s="85"/>
    </row>
    <row r="213" spans="1:10" x14ac:dyDescent="0.2">
      <c r="A213" s="103" t="s">
        <v>374</v>
      </c>
      <c r="B213" s="104" t="s">
        <v>35</v>
      </c>
      <c r="C213" s="104"/>
      <c r="D213" s="113">
        <f>C210*C212/12/100</f>
        <v>183.81343749999999</v>
      </c>
      <c r="E213" s="105">
        <f>D213</f>
        <v>183.81343749999999</v>
      </c>
      <c r="F213" s="20"/>
      <c r="I213" s="85"/>
      <c r="J213" s="85"/>
    </row>
    <row r="214" spans="1:10" x14ac:dyDescent="0.2">
      <c r="A214" s="116" t="s">
        <v>264</v>
      </c>
      <c r="B214" s="117"/>
      <c r="C214" s="117"/>
      <c r="D214" s="118"/>
      <c r="E214" s="119">
        <f>E208+E213</f>
        <v>745.68910143750009</v>
      </c>
      <c r="F214" s="20"/>
      <c r="I214" s="85"/>
      <c r="J214" s="85"/>
    </row>
    <row r="215" spans="1:10" ht="13.5" thickBot="1" x14ac:dyDescent="0.25">
      <c r="A215" s="103" t="s">
        <v>265</v>
      </c>
      <c r="B215" s="104" t="s">
        <v>10</v>
      </c>
      <c r="C215" s="277">
        <f>C199</f>
        <v>1.1000000000000001</v>
      </c>
      <c r="D215" s="105">
        <f>E214</f>
        <v>745.68910143750009</v>
      </c>
      <c r="E215" s="119">
        <f>C215*D215</f>
        <v>820.25801158125012</v>
      </c>
      <c r="F215" s="20"/>
      <c r="I215" s="85"/>
      <c r="J215" s="85"/>
    </row>
    <row r="216" spans="1:10" ht="13.5" thickBot="1" x14ac:dyDescent="0.25">
      <c r="C216" s="19"/>
      <c r="D216" s="123" t="s">
        <v>194</v>
      </c>
      <c r="E216" s="329">
        <f>E200</f>
        <v>0.51136363636363635</v>
      </c>
      <c r="F216" s="21">
        <f>E215*E216</f>
        <v>419.45011955859383</v>
      </c>
      <c r="I216" s="85"/>
      <c r="J216" s="85"/>
    </row>
    <row r="217" spans="1:10" ht="11.25" customHeight="1" x14ac:dyDescent="0.2">
      <c r="I217" s="85"/>
      <c r="J217" s="85"/>
    </row>
    <row r="218" spans="1:10" ht="13.5" thickBot="1" x14ac:dyDescent="0.25">
      <c r="A218" s="9" t="s">
        <v>53</v>
      </c>
      <c r="I218" s="85"/>
      <c r="J218" s="85"/>
    </row>
    <row r="219" spans="1:10" ht="13.5" thickBot="1" x14ac:dyDescent="0.25">
      <c r="A219" s="60" t="s">
        <v>65</v>
      </c>
      <c r="B219" s="61" t="s">
        <v>66</v>
      </c>
      <c r="C219" s="61" t="s">
        <v>42</v>
      </c>
      <c r="D219" s="62" t="s">
        <v>239</v>
      </c>
      <c r="E219" s="62" t="s">
        <v>67</v>
      </c>
      <c r="F219" s="63" t="s">
        <v>68</v>
      </c>
      <c r="I219" s="85"/>
      <c r="J219" s="85"/>
    </row>
    <row r="220" spans="1:10" x14ac:dyDescent="0.2">
      <c r="A220" s="13" t="s">
        <v>12</v>
      </c>
      <c r="B220" s="14" t="s">
        <v>10</v>
      </c>
      <c r="C220" s="15">
        <f>C199</f>
        <v>1.1000000000000001</v>
      </c>
      <c r="D220" s="15">
        <f>0.01*($C$206)</f>
        <v>1475.1367560000001</v>
      </c>
      <c r="E220" s="15">
        <f>C220*D220</f>
        <v>1622.6504316000003</v>
      </c>
      <c r="I220" s="85"/>
      <c r="J220" s="85"/>
    </row>
    <row r="221" spans="1:10" x14ac:dyDescent="0.2">
      <c r="A221" s="16" t="s">
        <v>193</v>
      </c>
      <c r="B221" s="17" t="s">
        <v>10</v>
      </c>
      <c r="C221" s="15">
        <f>C199</f>
        <v>1.1000000000000001</v>
      </c>
      <c r="D221" s="89">
        <v>150</v>
      </c>
      <c r="E221" s="18">
        <f>C221*D221</f>
        <v>165</v>
      </c>
      <c r="I221" s="85"/>
      <c r="J221" s="85"/>
    </row>
    <row r="222" spans="1:10" x14ac:dyDescent="0.2">
      <c r="A222" s="16" t="s">
        <v>13</v>
      </c>
      <c r="B222" s="17" t="s">
        <v>10</v>
      </c>
      <c r="C222" s="15">
        <f>C199</f>
        <v>1.1000000000000001</v>
      </c>
      <c r="D222" s="89">
        <v>2510</v>
      </c>
      <c r="E222" s="18">
        <f>C222*D222</f>
        <v>2761</v>
      </c>
      <c r="F222" s="31"/>
      <c r="I222" s="85"/>
      <c r="J222" s="85"/>
    </row>
    <row r="223" spans="1:10" ht="13.5" thickBot="1" x14ac:dyDescent="0.25">
      <c r="A223" s="103" t="s">
        <v>14</v>
      </c>
      <c r="B223" s="104" t="s">
        <v>8</v>
      </c>
      <c r="C223" s="104">
        <v>12</v>
      </c>
      <c r="D223" s="105">
        <f>SUM(E220:E222)</f>
        <v>4548.6504316</v>
      </c>
      <c r="E223" s="105">
        <f>D223/C223</f>
        <v>379.05420263333332</v>
      </c>
      <c r="I223" s="85"/>
      <c r="J223" s="85"/>
    </row>
    <row r="224" spans="1:10" ht="13.5" thickBot="1" x14ac:dyDescent="0.25">
      <c r="D224" s="123" t="s">
        <v>194</v>
      </c>
      <c r="E224" s="329">
        <f>E216</f>
        <v>0.51136363636363635</v>
      </c>
      <c r="F224" s="124">
        <f>E223*E224</f>
        <v>193.83453543749999</v>
      </c>
      <c r="I224" s="85"/>
      <c r="J224" s="85"/>
    </row>
    <row r="225" spans="1:10" ht="11.25" customHeight="1" x14ac:dyDescent="0.2">
      <c r="I225" s="85"/>
      <c r="J225" s="85"/>
    </row>
    <row r="226" spans="1:10" x14ac:dyDescent="0.2">
      <c r="A226" s="9" t="s">
        <v>54</v>
      </c>
      <c r="B226" s="32"/>
      <c r="I226" s="85"/>
      <c r="J226" s="85"/>
    </row>
    <row r="227" spans="1:10" x14ac:dyDescent="0.2">
      <c r="B227" s="32"/>
      <c r="I227" s="85"/>
      <c r="J227" s="85"/>
    </row>
    <row r="228" spans="1:10" x14ac:dyDescent="0.2">
      <c r="A228" s="103" t="s">
        <v>118</v>
      </c>
      <c r="B228" s="359">
        <v>1752</v>
      </c>
      <c r="I228" s="85"/>
      <c r="J228" s="85"/>
    </row>
    <row r="229" spans="1:10" ht="13.5" thickBot="1" x14ac:dyDescent="0.25">
      <c r="B229" s="32"/>
      <c r="I229" s="85"/>
      <c r="J229" s="85"/>
    </row>
    <row r="230" spans="1:10" ht="13.5" thickBot="1" x14ac:dyDescent="0.25">
      <c r="A230" s="60" t="s">
        <v>65</v>
      </c>
      <c r="B230" s="61" t="s">
        <v>66</v>
      </c>
      <c r="C230" s="61" t="s">
        <v>263</v>
      </c>
      <c r="D230" s="62" t="s">
        <v>239</v>
      </c>
      <c r="E230" s="62" t="s">
        <v>67</v>
      </c>
      <c r="F230" s="63" t="s">
        <v>68</v>
      </c>
      <c r="I230" s="85"/>
      <c r="J230" s="85"/>
    </row>
    <row r="231" spans="1:10" x14ac:dyDescent="0.2">
      <c r="A231" s="13" t="s">
        <v>15</v>
      </c>
      <c r="B231" s="14" t="s">
        <v>16</v>
      </c>
      <c r="C231" s="97">
        <v>2.5</v>
      </c>
      <c r="D231" s="98">
        <v>3.67</v>
      </c>
      <c r="E231" s="15"/>
      <c r="I231" s="85"/>
      <c r="J231" s="85"/>
    </row>
    <row r="232" spans="1:10" x14ac:dyDescent="0.2">
      <c r="A232" s="16" t="s">
        <v>17</v>
      </c>
      <c r="B232" s="17" t="s">
        <v>18</v>
      </c>
      <c r="C232" s="94">
        <f>B228</f>
        <v>1752</v>
      </c>
      <c r="D232" s="274">
        <f>IFERROR(+D231/C231,"-")</f>
        <v>1.468</v>
      </c>
      <c r="E232" s="18">
        <f>IFERROR(C232*D232,"-")</f>
        <v>2571.9360000000001</v>
      </c>
      <c r="I232" s="85"/>
      <c r="J232" s="85"/>
    </row>
    <row r="233" spans="1:10" x14ac:dyDescent="0.2">
      <c r="A233" s="16" t="s">
        <v>240</v>
      </c>
      <c r="B233" s="17" t="s">
        <v>19</v>
      </c>
      <c r="C233" s="100">
        <v>1.33</v>
      </c>
      <c r="D233" s="89">
        <v>15.5</v>
      </c>
      <c r="E233" s="18"/>
      <c r="G233" s="112"/>
      <c r="H233" s="52"/>
      <c r="I233" s="85"/>
      <c r="J233" s="85"/>
    </row>
    <row r="234" spans="1:10" x14ac:dyDescent="0.2">
      <c r="A234" s="16" t="s">
        <v>20</v>
      </c>
      <c r="B234" s="17" t="s">
        <v>18</v>
      </c>
      <c r="C234" s="94">
        <f>C232</f>
        <v>1752</v>
      </c>
      <c r="D234" s="271">
        <f>+C233*D233/1000</f>
        <v>2.0615000000000001E-2</v>
      </c>
      <c r="E234" s="18">
        <f>C234*D234</f>
        <v>36.11748</v>
      </c>
      <c r="G234" s="112"/>
      <c r="H234" s="52"/>
      <c r="I234" s="85"/>
      <c r="J234" s="85"/>
    </row>
    <row r="235" spans="1:10" x14ac:dyDescent="0.2">
      <c r="A235" s="16" t="s">
        <v>241</v>
      </c>
      <c r="B235" s="17" t="s">
        <v>19</v>
      </c>
      <c r="C235" s="100">
        <v>0.18</v>
      </c>
      <c r="D235" s="89">
        <v>21.86</v>
      </c>
      <c r="E235" s="18"/>
      <c r="G235" s="112"/>
      <c r="H235" s="52"/>
      <c r="I235" s="85"/>
      <c r="J235" s="85"/>
    </row>
    <row r="236" spans="1:10" x14ac:dyDescent="0.2">
      <c r="A236" s="16" t="s">
        <v>21</v>
      </c>
      <c r="B236" s="17" t="s">
        <v>18</v>
      </c>
      <c r="C236" s="94">
        <f>C232</f>
        <v>1752</v>
      </c>
      <c r="D236" s="271">
        <f>+C235*D235/1000</f>
        <v>3.9347999999999996E-3</v>
      </c>
      <c r="E236" s="18">
        <f>C236*D236</f>
        <v>6.8937695999999988</v>
      </c>
      <c r="G236" s="112"/>
      <c r="H236" s="52"/>
      <c r="I236" s="85"/>
      <c r="J236" s="85"/>
    </row>
    <row r="237" spans="1:10" x14ac:dyDescent="0.2">
      <c r="A237" s="16" t="s">
        <v>242</v>
      </c>
      <c r="B237" s="17" t="s">
        <v>19</v>
      </c>
      <c r="C237" s="100">
        <v>0.5</v>
      </c>
      <c r="D237" s="89">
        <v>33.5</v>
      </c>
      <c r="E237" s="18"/>
      <c r="G237" s="112"/>
      <c r="H237" s="52"/>
      <c r="I237" s="85"/>
      <c r="J237" s="85"/>
    </row>
    <row r="238" spans="1:10" x14ac:dyDescent="0.2">
      <c r="A238" s="16" t="s">
        <v>22</v>
      </c>
      <c r="B238" s="17" t="s">
        <v>18</v>
      </c>
      <c r="C238" s="94">
        <f>C232</f>
        <v>1752</v>
      </c>
      <c r="D238" s="271">
        <f>+C237*D237/1000</f>
        <v>1.6750000000000001E-2</v>
      </c>
      <c r="E238" s="18">
        <f>C238*D238</f>
        <v>29.346</v>
      </c>
      <c r="G238" s="112"/>
      <c r="H238" s="52"/>
      <c r="I238" s="85"/>
      <c r="J238" s="85"/>
    </row>
    <row r="239" spans="1:10" x14ac:dyDescent="0.2">
      <c r="A239" s="346" t="s">
        <v>466</v>
      </c>
      <c r="B239" s="17" t="s">
        <v>19</v>
      </c>
      <c r="C239" s="100">
        <v>20</v>
      </c>
      <c r="D239" s="89">
        <v>2.81</v>
      </c>
      <c r="E239" s="18"/>
      <c r="G239" s="112"/>
      <c r="H239" s="52"/>
      <c r="I239" s="85"/>
      <c r="J239" s="85"/>
    </row>
    <row r="240" spans="1:10" x14ac:dyDescent="0.2">
      <c r="A240" s="346" t="s">
        <v>467</v>
      </c>
      <c r="B240" s="17" t="s">
        <v>18</v>
      </c>
      <c r="C240" s="94">
        <f>C234</f>
        <v>1752</v>
      </c>
      <c r="D240" s="271">
        <f>+C239*D239/1000</f>
        <v>5.62E-2</v>
      </c>
      <c r="E240" s="18">
        <f>C240*D240</f>
        <v>98.462400000000002</v>
      </c>
      <c r="G240" s="112"/>
      <c r="H240" s="52"/>
      <c r="I240" s="85"/>
      <c r="J240" s="85"/>
    </row>
    <row r="241" spans="1:10" x14ac:dyDescent="0.2">
      <c r="A241" s="16" t="s">
        <v>23</v>
      </c>
      <c r="B241" s="17" t="s">
        <v>24</v>
      </c>
      <c r="C241" s="100">
        <v>0.5</v>
      </c>
      <c r="D241" s="89">
        <v>20.41</v>
      </c>
      <c r="E241" s="18"/>
      <c r="G241" s="112"/>
      <c r="H241" s="52"/>
      <c r="I241" s="85"/>
      <c r="J241" s="85"/>
    </row>
    <row r="242" spans="1:10" x14ac:dyDescent="0.2">
      <c r="A242" s="16" t="s">
        <v>25</v>
      </c>
      <c r="B242" s="17" t="s">
        <v>18</v>
      </c>
      <c r="C242" s="94">
        <f>C232</f>
        <v>1752</v>
      </c>
      <c r="D242" s="271">
        <f>+C241*D241/1000</f>
        <v>1.0205000000000001E-2</v>
      </c>
      <c r="E242" s="18">
        <f>C242*D242</f>
        <v>17.879160000000002</v>
      </c>
      <c r="G242" s="112"/>
      <c r="H242" s="52"/>
      <c r="I242" s="85"/>
      <c r="J242" s="85"/>
    </row>
    <row r="243" spans="1:10" ht="13.5" thickBot="1" x14ac:dyDescent="0.25">
      <c r="A243" s="103" t="s">
        <v>262</v>
      </c>
      <c r="B243" s="104" t="s">
        <v>119</v>
      </c>
      <c r="C243" s="272"/>
      <c r="D243" s="273">
        <f>IFERROR(D232+D234+D236+D238+D242,0)</f>
        <v>1.5195048</v>
      </c>
      <c r="E243" s="18"/>
      <c r="G243" s="112"/>
      <c r="H243" s="52"/>
      <c r="I243" s="85"/>
      <c r="J243" s="85"/>
    </row>
    <row r="244" spans="1:10" ht="13.5" thickBot="1" x14ac:dyDescent="0.25">
      <c r="F244" s="21">
        <f>SUM(E231:E242)</f>
        <v>2760.6348095999997</v>
      </c>
      <c r="I244" s="85"/>
      <c r="J244" s="85"/>
    </row>
    <row r="245" spans="1:10" ht="11.25" customHeight="1" x14ac:dyDescent="0.2">
      <c r="I245" s="85"/>
      <c r="J245" s="85"/>
    </row>
    <row r="246" spans="1:10" ht="13.5" thickBot="1" x14ac:dyDescent="0.25">
      <c r="A246" s="9" t="s">
        <v>55</v>
      </c>
      <c r="I246" s="85"/>
      <c r="J246" s="85"/>
    </row>
    <row r="247" spans="1:10" ht="13.5" thickBot="1" x14ac:dyDescent="0.25">
      <c r="A247" s="60" t="s">
        <v>65</v>
      </c>
      <c r="B247" s="61" t="s">
        <v>66</v>
      </c>
      <c r="C247" s="61" t="s">
        <v>42</v>
      </c>
      <c r="D247" s="62" t="s">
        <v>239</v>
      </c>
      <c r="E247" s="62" t="s">
        <v>67</v>
      </c>
      <c r="F247" s="63" t="s">
        <v>68</v>
      </c>
      <c r="I247" s="85"/>
      <c r="J247" s="85"/>
    </row>
    <row r="248" spans="1:10" ht="13.5" thickBot="1" x14ac:dyDescent="0.25">
      <c r="A248" s="13" t="s">
        <v>117</v>
      </c>
      <c r="B248" s="14" t="s">
        <v>119</v>
      </c>
      <c r="C248" s="94">
        <f>C232</f>
        <v>1752</v>
      </c>
      <c r="D248" s="87">
        <v>0.79</v>
      </c>
      <c r="E248" s="15">
        <f>C248*D248</f>
        <v>1384.0800000000002</v>
      </c>
      <c r="I248" s="85"/>
      <c r="J248" s="85"/>
    </row>
    <row r="249" spans="1:10" ht="13.5" thickBot="1" x14ac:dyDescent="0.25">
      <c r="F249" s="21">
        <f>E248</f>
        <v>1384.0800000000002</v>
      </c>
      <c r="I249" s="85"/>
      <c r="J249" s="85"/>
    </row>
    <row r="250" spans="1:10" ht="11.25" customHeight="1" x14ac:dyDescent="0.2">
      <c r="I250" s="85"/>
      <c r="J250" s="85"/>
    </row>
    <row r="251" spans="1:10" ht="13.5" thickBot="1" x14ac:dyDescent="0.25">
      <c r="A251" s="9" t="s">
        <v>63</v>
      </c>
      <c r="I251" s="85"/>
      <c r="J251" s="85"/>
    </row>
    <row r="252" spans="1:10" ht="13.5" thickBot="1" x14ac:dyDescent="0.25">
      <c r="A252" s="60" t="s">
        <v>65</v>
      </c>
      <c r="B252" s="61" t="s">
        <v>66</v>
      </c>
      <c r="C252" s="61" t="s">
        <v>42</v>
      </c>
      <c r="D252" s="62" t="s">
        <v>239</v>
      </c>
      <c r="E252" s="62" t="s">
        <v>67</v>
      </c>
      <c r="F252" s="63" t="s">
        <v>68</v>
      </c>
      <c r="I252" s="85"/>
      <c r="J252" s="85"/>
    </row>
    <row r="253" spans="1:10" x14ac:dyDescent="0.2">
      <c r="A253" s="308" t="s">
        <v>400</v>
      </c>
      <c r="B253" s="14" t="s">
        <v>10</v>
      </c>
      <c r="C253" s="96">
        <v>6</v>
      </c>
      <c r="D253" s="87">
        <v>1577</v>
      </c>
      <c r="E253" s="15">
        <f>C253*D253</f>
        <v>9462</v>
      </c>
      <c r="I253" s="85"/>
      <c r="J253" s="85"/>
    </row>
    <row r="254" spans="1:10" x14ac:dyDescent="0.2">
      <c r="A254" s="13" t="s">
        <v>120</v>
      </c>
      <c r="B254" s="14" t="s">
        <v>10</v>
      </c>
      <c r="C254" s="96">
        <v>2</v>
      </c>
      <c r="D254" s="106"/>
      <c r="E254" s="15"/>
      <c r="I254" s="85"/>
      <c r="J254" s="85"/>
    </row>
    <row r="255" spans="1:10" x14ac:dyDescent="0.2">
      <c r="A255" s="13" t="s">
        <v>73</v>
      </c>
      <c r="B255" s="14" t="s">
        <v>10</v>
      </c>
      <c r="C255" s="15">
        <f>C253*C254</f>
        <v>12</v>
      </c>
      <c r="D255" s="87">
        <v>515</v>
      </c>
      <c r="E255" s="15">
        <f>C255*D255</f>
        <v>6180</v>
      </c>
      <c r="I255" s="85"/>
      <c r="J255" s="85"/>
    </row>
    <row r="256" spans="1:10" x14ac:dyDescent="0.2">
      <c r="A256" s="346" t="s">
        <v>483</v>
      </c>
      <c r="B256" s="17" t="s">
        <v>26</v>
      </c>
      <c r="C256" s="99">
        <v>90000</v>
      </c>
      <c r="D256" s="18">
        <f>E253+E255</f>
        <v>15642</v>
      </c>
      <c r="E256" s="18">
        <f>IFERROR(D256/C256,"-")</f>
        <v>0.17380000000000001</v>
      </c>
      <c r="I256" s="85"/>
      <c r="J256" s="85"/>
    </row>
    <row r="257" spans="1:10" ht="13.5" thickBot="1" x14ac:dyDescent="0.25">
      <c r="A257" s="16" t="s">
        <v>57</v>
      </c>
      <c r="B257" s="17" t="s">
        <v>18</v>
      </c>
      <c r="C257" s="94">
        <f>B228</f>
        <v>1752</v>
      </c>
      <c r="D257" s="18">
        <f>E256</f>
        <v>0.17380000000000001</v>
      </c>
      <c r="E257" s="18">
        <f>IFERROR(C257*D257,0)</f>
        <v>304.49760000000003</v>
      </c>
      <c r="I257" s="85"/>
      <c r="J257" s="85"/>
    </row>
    <row r="258" spans="1:10" ht="13.5" thickBot="1" x14ac:dyDescent="0.25">
      <c r="F258" s="21">
        <f>E257</f>
        <v>304.49760000000003</v>
      </c>
      <c r="I258" s="85"/>
      <c r="J258" s="85"/>
    </row>
    <row r="259" spans="1:10" ht="11.25" customHeight="1" x14ac:dyDescent="0.2">
      <c r="I259" s="85"/>
      <c r="J259" s="85"/>
    </row>
    <row r="260" spans="1:10" ht="11.25" customHeight="1" thickBot="1" x14ac:dyDescent="0.25">
      <c r="G260" s="9"/>
    </row>
    <row r="261" spans="1:10" ht="13.5" thickBot="1" x14ac:dyDescent="0.25">
      <c r="A261" s="24" t="s">
        <v>227</v>
      </c>
      <c r="B261" s="25"/>
      <c r="C261" s="25"/>
      <c r="D261" s="26"/>
      <c r="E261" s="27"/>
      <c r="F261" s="21">
        <f>+SUM(F188:F260)</f>
        <v>6096.1180536585935</v>
      </c>
      <c r="G261" s="9"/>
    </row>
    <row r="262" spans="1:10" ht="11.25" customHeight="1" x14ac:dyDescent="0.2">
      <c r="G262" s="9"/>
    </row>
    <row r="263" spans="1:10" x14ac:dyDescent="0.2">
      <c r="A263" s="34" t="s">
        <v>77</v>
      </c>
      <c r="B263" s="34"/>
      <c r="C263" s="34"/>
      <c r="D263" s="35"/>
      <c r="E263" s="35"/>
      <c r="F263" s="33"/>
      <c r="G263" s="9"/>
    </row>
    <row r="264" spans="1:10" ht="11.25" customHeight="1" thickBot="1" x14ac:dyDescent="0.25">
      <c r="G264" s="9"/>
    </row>
    <row r="265" spans="1:10" ht="13.5" thickBot="1" x14ac:dyDescent="0.25">
      <c r="A265" s="60" t="s">
        <v>65</v>
      </c>
      <c r="B265" s="61" t="s">
        <v>66</v>
      </c>
      <c r="C265" s="61" t="s">
        <v>42</v>
      </c>
      <c r="D265" s="62" t="s">
        <v>239</v>
      </c>
      <c r="E265" s="62" t="s">
        <v>67</v>
      </c>
      <c r="F265" s="63" t="s">
        <v>68</v>
      </c>
      <c r="G265" s="9"/>
    </row>
    <row r="266" spans="1:10" x14ac:dyDescent="0.2">
      <c r="A266" s="16" t="s">
        <v>74</v>
      </c>
      <c r="B266" s="17" t="s">
        <v>10</v>
      </c>
      <c r="C266" s="101">
        <v>0.16666666666666666</v>
      </c>
      <c r="D266" s="87">
        <v>39</v>
      </c>
      <c r="E266" s="18">
        <f>C266*D266</f>
        <v>6.5</v>
      </c>
      <c r="F266" s="55"/>
      <c r="G266" s="9"/>
    </row>
    <row r="267" spans="1:10" x14ac:dyDescent="0.2">
      <c r="A267" s="16" t="s">
        <v>28</v>
      </c>
      <c r="B267" s="17" t="s">
        <v>10</v>
      </c>
      <c r="C267" s="101">
        <v>0.16666666666666666</v>
      </c>
      <c r="D267" s="87">
        <v>26.92</v>
      </c>
      <c r="E267" s="18">
        <f>C267*D267</f>
        <v>4.4866666666666664</v>
      </c>
      <c r="F267" s="55"/>
      <c r="G267" s="9"/>
    </row>
    <row r="268" spans="1:10" x14ac:dyDescent="0.2">
      <c r="A268" s="16" t="s">
        <v>29</v>
      </c>
      <c r="B268" s="17" t="s">
        <v>10</v>
      </c>
      <c r="C268" s="101">
        <v>0.16666666666666666</v>
      </c>
      <c r="D268" s="87">
        <v>26.19</v>
      </c>
      <c r="E268" s="18">
        <f>C268*D268</f>
        <v>4.3650000000000002</v>
      </c>
      <c r="F268" s="55"/>
      <c r="G268" s="9"/>
    </row>
    <row r="269" spans="1:10" ht="13.5" thickBot="1" x14ac:dyDescent="0.25">
      <c r="A269" s="346" t="s">
        <v>444</v>
      </c>
      <c r="B269" s="399" t="s">
        <v>445</v>
      </c>
      <c r="C269" s="348">
        <v>4</v>
      </c>
      <c r="D269" s="87">
        <v>70</v>
      </c>
      <c r="E269" s="18">
        <f>C269*D269</f>
        <v>280</v>
      </c>
      <c r="F269" s="55"/>
      <c r="G269" s="9"/>
    </row>
    <row r="270" spans="1:10" ht="13.5" hidden="1" thickBot="1" x14ac:dyDescent="0.25">
      <c r="A270" s="16" t="s">
        <v>61</v>
      </c>
      <c r="B270" s="17" t="s">
        <v>59</v>
      </c>
      <c r="C270" s="101"/>
      <c r="D270" s="87"/>
      <c r="E270" s="18">
        <f>C270*D270</f>
        <v>0</v>
      </c>
      <c r="F270" s="55"/>
      <c r="G270" s="9"/>
    </row>
    <row r="271" spans="1:10" ht="13.5" thickBot="1" x14ac:dyDescent="0.25">
      <c r="A271" s="34"/>
      <c r="B271" s="34"/>
      <c r="C271" s="34"/>
      <c r="D271" s="34"/>
      <c r="E271" s="35"/>
      <c r="F271" s="21">
        <f>SUM(E266:E270)</f>
        <v>295.35166666666669</v>
      </c>
      <c r="G271" s="9"/>
    </row>
    <row r="272" spans="1:10" ht="11.25" customHeight="1" thickBot="1" x14ac:dyDescent="0.25">
      <c r="G272" s="9"/>
    </row>
    <row r="273" spans="1:7" ht="13.5" thickBot="1" x14ac:dyDescent="0.25">
      <c r="A273" s="24" t="s">
        <v>228</v>
      </c>
      <c r="B273" s="25"/>
      <c r="C273" s="25"/>
      <c r="D273" s="26"/>
      <c r="E273" s="27"/>
      <c r="F273" s="21">
        <f>+F271</f>
        <v>295.35166666666669</v>
      </c>
      <c r="G273" s="9"/>
    </row>
    <row r="274" spans="1:7" ht="11.25" customHeight="1" x14ac:dyDescent="0.2">
      <c r="G274" s="9"/>
    </row>
    <row r="275" spans="1:7" x14ac:dyDescent="0.2">
      <c r="A275" s="34" t="s">
        <v>78</v>
      </c>
      <c r="B275" s="34"/>
      <c r="C275" s="34"/>
      <c r="D275" s="35"/>
      <c r="E275" s="35"/>
      <c r="F275" s="33"/>
    </row>
    <row r="276" spans="1:7" ht="11.25" customHeight="1" thickBot="1" x14ac:dyDescent="0.25"/>
    <row r="277" spans="1:7" ht="13.5" thickBot="1" x14ac:dyDescent="0.25">
      <c r="A277" s="60" t="s">
        <v>65</v>
      </c>
      <c r="B277" s="61" t="s">
        <v>66</v>
      </c>
      <c r="C277" s="61" t="s">
        <v>42</v>
      </c>
      <c r="D277" s="62" t="s">
        <v>239</v>
      </c>
      <c r="E277" s="62" t="s">
        <v>67</v>
      </c>
      <c r="F277" s="63" t="s">
        <v>68</v>
      </c>
    </row>
    <row r="278" spans="1:7" x14ac:dyDescent="0.2">
      <c r="A278" s="16" t="s">
        <v>225</v>
      </c>
      <c r="B278" s="53" t="s">
        <v>59</v>
      </c>
      <c r="C278" s="69">
        <f>C188</f>
        <v>1</v>
      </c>
      <c r="D278" s="89">
        <v>600</v>
      </c>
      <c r="E278" s="18">
        <f>+D278*C278</f>
        <v>600</v>
      </c>
      <c r="F278" s="55"/>
    </row>
    <row r="279" spans="1:7" x14ac:dyDescent="0.2">
      <c r="A279" s="16" t="s">
        <v>62</v>
      </c>
      <c r="B279" s="53" t="s">
        <v>8</v>
      </c>
      <c r="C279" s="155">
        <v>60</v>
      </c>
      <c r="D279" s="80">
        <f>SUM(E278:E278)</f>
        <v>600</v>
      </c>
      <c r="E279" s="80">
        <f>+D279/C279</f>
        <v>10</v>
      </c>
      <c r="F279" s="55"/>
    </row>
    <row r="280" spans="1:7" x14ac:dyDescent="0.2">
      <c r="A280" s="16" t="s">
        <v>226</v>
      </c>
      <c r="B280" s="17" t="s">
        <v>10</v>
      </c>
      <c r="C280" s="69">
        <f>+C278</f>
        <v>1</v>
      </c>
      <c r="D280" s="89">
        <v>100</v>
      </c>
      <c r="E280" s="18">
        <f>C280*D280</f>
        <v>100</v>
      </c>
      <c r="F280" s="55"/>
    </row>
    <row r="281" spans="1:7" ht="13.5" thickBot="1" x14ac:dyDescent="0.25">
      <c r="A281" s="16" t="s">
        <v>39</v>
      </c>
      <c r="B281" s="53" t="s">
        <v>8</v>
      </c>
      <c r="C281" s="155">
        <v>1</v>
      </c>
      <c r="D281" s="80">
        <f>+E280</f>
        <v>100</v>
      </c>
      <c r="E281" s="80">
        <f>+D281/C281</f>
        <v>100</v>
      </c>
      <c r="F281" s="55"/>
    </row>
    <row r="282" spans="1:7" ht="13.5" thickBot="1" x14ac:dyDescent="0.25">
      <c r="A282" s="81"/>
      <c r="B282" s="81"/>
      <c r="C282" s="81"/>
      <c r="D282" s="123" t="s">
        <v>194</v>
      </c>
      <c r="E282" s="329">
        <f>E224</f>
        <v>0.51136363636363635</v>
      </c>
      <c r="F282" s="82">
        <f>(E279+E281)*E282</f>
        <v>56.25</v>
      </c>
    </row>
    <row r="283" spans="1:7" s="51" customFormat="1" ht="11.25" customHeight="1" thickBot="1" x14ac:dyDescent="0.25">
      <c r="A283" s="9"/>
      <c r="B283" s="9"/>
      <c r="C283" s="9"/>
      <c r="D283" s="10"/>
      <c r="E283" s="10"/>
      <c r="F283" s="10"/>
      <c r="G283" s="84"/>
    </row>
    <row r="284" spans="1:7" ht="13.5" thickBot="1" x14ac:dyDescent="0.25">
      <c r="A284" s="24" t="s">
        <v>224</v>
      </c>
      <c r="B284" s="25"/>
      <c r="C284" s="25"/>
      <c r="D284" s="26"/>
      <c r="E284" s="27"/>
      <c r="F284" s="21">
        <f>+F282</f>
        <v>56.25</v>
      </c>
    </row>
    <row r="285" spans="1:7" ht="11.25" customHeight="1" thickBot="1" x14ac:dyDescent="0.25"/>
    <row r="286" spans="1:7" ht="17.25" customHeight="1" thickBot="1" x14ac:dyDescent="0.25">
      <c r="A286" s="24" t="s">
        <v>229</v>
      </c>
      <c r="B286" s="28"/>
      <c r="C286" s="28"/>
      <c r="D286" s="29"/>
      <c r="E286" s="30"/>
      <c r="F286" s="22">
        <f>+F146+F180+F261+F273+F284</f>
        <v>13006.558033210034</v>
      </c>
    </row>
    <row r="287" spans="1:7" ht="11.25" customHeight="1" x14ac:dyDescent="0.2"/>
    <row r="288" spans="1:7" x14ac:dyDescent="0.2">
      <c r="A288" s="11" t="s">
        <v>92</v>
      </c>
    </row>
    <row r="289" spans="1:7" ht="11.25" customHeight="1" thickBot="1" x14ac:dyDescent="0.25"/>
    <row r="290" spans="1:7" ht="13.5" thickBot="1" x14ac:dyDescent="0.25">
      <c r="A290" s="60" t="s">
        <v>65</v>
      </c>
      <c r="B290" s="61" t="s">
        <v>66</v>
      </c>
      <c r="C290" s="61" t="s">
        <v>42</v>
      </c>
      <c r="D290" s="62" t="s">
        <v>239</v>
      </c>
      <c r="E290" s="62" t="s">
        <v>67</v>
      </c>
      <c r="F290" s="63" t="s">
        <v>68</v>
      </c>
    </row>
    <row r="291" spans="1:7" ht="13.5" thickBot="1" x14ac:dyDescent="0.25">
      <c r="A291" s="13" t="s">
        <v>38</v>
      </c>
      <c r="B291" s="14" t="s">
        <v>2</v>
      </c>
      <c r="C291" s="141">
        <f>'5.BDI'!C21*100</f>
        <v>26.090000000000003</v>
      </c>
      <c r="D291" s="15">
        <f>+F286</f>
        <v>13006.558033210034</v>
      </c>
      <c r="E291" s="15">
        <f>C291*D291/100</f>
        <v>3393.4109908644982</v>
      </c>
    </row>
    <row r="292" spans="1:7" ht="13.5" thickBot="1" x14ac:dyDescent="0.25">
      <c r="F292" s="21">
        <f>+E291</f>
        <v>3393.4109908644982</v>
      </c>
    </row>
    <row r="293" spans="1:7" ht="11.25" customHeight="1" thickBot="1" x14ac:dyDescent="0.25"/>
    <row r="294" spans="1:7" ht="13.5" thickBot="1" x14ac:dyDescent="0.25">
      <c r="A294" s="24" t="s">
        <v>244</v>
      </c>
      <c r="B294" s="28"/>
      <c r="C294" s="28"/>
      <c r="D294" s="29"/>
      <c r="E294" s="30"/>
      <c r="F294" s="22">
        <f>F292</f>
        <v>3393.4109908644982</v>
      </c>
    </row>
    <row r="295" spans="1:7" x14ac:dyDescent="0.2">
      <c r="A295" s="34"/>
      <c r="B295" s="34"/>
      <c r="C295" s="34"/>
      <c r="D295" s="35"/>
      <c r="E295" s="35"/>
      <c r="F295" s="33"/>
    </row>
    <row r="296" spans="1:7" ht="11.25" customHeight="1" thickBot="1" x14ac:dyDescent="0.25"/>
    <row r="297" spans="1:7" ht="24.75" customHeight="1" thickBot="1" x14ac:dyDescent="0.25">
      <c r="A297" s="24" t="s">
        <v>230</v>
      </c>
      <c r="B297" s="28"/>
      <c r="C297" s="28"/>
      <c r="D297" s="29"/>
      <c r="E297" s="30"/>
      <c r="F297" s="22">
        <f>F286+F294</f>
        <v>16399.969024074533</v>
      </c>
    </row>
    <row r="298" spans="1:7" ht="12.6" customHeight="1" x14ac:dyDescent="0.2">
      <c r="A298" s="56"/>
      <c r="B298" s="56"/>
      <c r="C298" s="56"/>
      <c r="D298" s="57"/>
      <c r="E298" s="57"/>
      <c r="F298" s="57"/>
    </row>
    <row r="299" spans="1:7" ht="14.25" hidden="1" x14ac:dyDescent="0.2">
      <c r="A299" s="8"/>
      <c r="B299" s="8"/>
      <c r="C299" s="8"/>
      <c r="D299" s="36"/>
      <c r="E299" s="36"/>
    </row>
    <row r="300" spans="1:7" ht="16.149999999999999" hidden="1" customHeight="1" x14ac:dyDescent="0.2">
      <c r="A300" s="252" t="s">
        <v>223</v>
      </c>
      <c r="B300" s="253"/>
      <c r="C300" s="253"/>
      <c r="D300" s="254"/>
      <c r="E300" s="255" t="s">
        <v>27</v>
      </c>
      <c r="G300" s="10" t="s">
        <v>204</v>
      </c>
    </row>
    <row r="301" spans="1:7" ht="13.5" hidden="1" thickBot="1" x14ac:dyDescent="0.25"/>
    <row r="302" spans="1:7" ht="25.5" hidden="1" customHeight="1" thickBot="1" x14ac:dyDescent="0.25">
      <c r="A302" s="24" t="s">
        <v>72</v>
      </c>
      <c r="B302" s="25"/>
      <c r="C302" s="25"/>
      <c r="D302" s="26"/>
      <c r="E302" s="256" t="s">
        <v>34</v>
      </c>
      <c r="F302" s="257" t="str">
        <f>IFERROR(F297/D300,"-")</f>
        <v>-</v>
      </c>
      <c r="G302" s="10" t="s">
        <v>204</v>
      </c>
    </row>
    <row r="303" spans="1:7" ht="12.6" hidden="1" customHeight="1" x14ac:dyDescent="0.2">
      <c r="A303" s="34"/>
      <c r="B303" s="34"/>
      <c r="C303" s="34"/>
      <c r="D303" s="35"/>
      <c r="E303" s="35"/>
      <c r="F303" s="35"/>
    </row>
    <row r="304" spans="1:7" s="4" customFormat="1" ht="9.75" hidden="1" customHeight="1" x14ac:dyDescent="0.2">
      <c r="A304" s="39"/>
      <c r="B304" s="10"/>
      <c r="C304" s="10"/>
      <c r="D304" s="10"/>
      <c r="E304" s="10"/>
      <c r="F304" s="10"/>
      <c r="G304" s="6"/>
    </row>
    <row r="305" spans="1:7" s="4" customFormat="1" ht="9.75" hidden="1" customHeight="1" x14ac:dyDescent="0.2">
      <c r="A305" s="39"/>
      <c r="B305" s="10"/>
      <c r="C305" s="10"/>
      <c r="D305" s="10"/>
      <c r="E305" s="10"/>
      <c r="F305" s="10"/>
      <c r="G305" s="6"/>
    </row>
    <row r="306" spans="1:7" s="4" customFormat="1" ht="9.75" hidden="1" customHeight="1" x14ac:dyDescent="0.2">
      <c r="A306" s="39"/>
      <c r="B306" s="10"/>
      <c r="C306" s="10"/>
      <c r="D306" s="10"/>
      <c r="E306" s="10"/>
      <c r="F306" s="10"/>
      <c r="G306" s="6"/>
    </row>
    <row r="336" spans="4:7" ht="9" customHeight="1" x14ac:dyDescent="0.2">
      <c r="D336" s="9"/>
      <c r="E336" s="9"/>
      <c r="F336" s="9"/>
      <c r="G336" s="9"/>
    </row>
  </sheetData>
  <mergeCells count="7">
    <mergeCell ref="A48:D48"/>
    <mergeCell ref="A25:C25"/>
    <mergeCell ref="A12:F12"/>
    <mergeCell ref="A13:F13"/>
    <mergeCell ref="A41:D41"/>
    <mergeCell ref="A15:F15"/>
    <mergeCell ref="A40:E40"/>
  </mergeCells>
  <phoneticPr fontId="18" type="noConversion"/>
  <hyperlinks>
    <hyperlink ref="A202" location="AbaRemun" display="3.1.2. Remuneração do Capital"/>
    <hyperlink ref="A186" location="AbaDeprec" display="3.1.1. Depreciação"/>
  </hyperlinks>
  <pageMargins left="0.9055118110236221" right="0.51181102362204722" top="0.74803149606299213" bottom="0.74803149606299213" header="0.31496062992125984" footer="0.31496062992125984"/>
  <pageSetup paperSize="9" scale="60" fitToHeight="3" orientation="portrait" verticalDpi="300" r:id="rId1"/>
  <headerFooter alignWithMargins="0">
    <oddFooter>&amp;R&amp;P de &amp;N</oddFooter>
  </headerFooter>
  <rowBreaks count="2" manualBreakCount="2">
    <brk id="124" max="5" man="1"/>
    <brk id="201" max="5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C196" sqref="C196"/>
    </sheetView>
  </sheetViews>
  <sheetFormatPr defaultColWidth="9.140625" defaultRowHeight="19.5" customHeight="1" x14ac:dyDescent="0.2"/>
  <cols>
    <col min="1" max="1" width="24.5703125" style="1" customWidth="1"/>
    <col min="2" max="2" width="20.85546875" style="1" customWidth="1"/>
    <col min="3" max="16384" width="9.140625" style="1"/>
  </cols>
  <sheetData>
    <row r="1" spans="1:2" ht="19.5" customHeight="1" thickBot="1" x14ac:dyDescent="0.25">
      <c r="A1" s="501" t="s">
        <v>234</v>
      </c>
      <c r="B1" s="502"/>
    </row>
    <row r="2" spans="1:2" s="108" customFormat="1" ht="19.5" customHeight="1" x14ac:dyDescent="0.2">
      <c r="A2" s="266" t="s">
        <v>211</v>
      </c>
      <c r="B2" s="267" t="s">
        <v>291</v>
      </c>
    </row>
    <row r="3" spans="1:2" ht="19.5" customHeight="1" x14ac:dyDescent="0.2">
      <c r="A3" s="166">
        <v>1</v>
      </c>
      <c r="B3" s="165">
        <v>33.629999999999995</v>
      </c>
    </row>
    <row r="4" spans="1:2" ht="19.5" customHeight="1" x14ac:dyDescent="0.2">
      <c r="A4" s="166">
        <v>2</v>
      </c>
      <c r="B4" s="165">
        <v>43.13</v>
      </c>
    </row>
    <row r="5" spans="1:2" ht="19.5" customHeight="1" x14ac:dyDescent="0.2">
      <c r="A5" s="166">
        <v>3</v>
      </c>
      <c r="B5" s="165">
        <v>48.68</v>
      </c>
    </row>
    <row r="6" spans="1:2" ht="19.5" customHeight="1" x14ac:dyDescent="0.2">
      <c r="A6" s="166">
        <v>4</v>
      </c>
      <c r="B6" s="165">
        <v>52.62</v>
      </c>
    </row>
    <row r="7" spans="1:2" ht="19.5" customHeight="1" x14ac:dyDescent="0.2">
      <c r="A7" s="166">
        <v>5</v>
      </c>
      <c r="B7" s="165">
        <v>55.679999999999993</v>
      </c>
    </row>
    <row r="8" spans="1:2" ht="19.5" customHeight="1" x14ac:dyDescent="0.2">
      <c r="A8" s="166">
        <v>6</v>
      </c>
      <c r="B8" s="165">
        <v>58.18</v>
      </c>
    </row>
    <row r="9" spans="1:2" ht="19.5" customHeight="1" x14ac:dyDescent="0.2">
      <c r="A9" s="166">
        <v>7</v>
      </c>
      <c r="B9" s="165">
        <v>60.29</v>
      </c>
    </row>
    <row r="10" spans="1:2" ht="19.5" customHeight="1" x14ac:dyDescent="0.2">
      <c r="A10" s="166">
        <v>8</v>
      </c>
      <c r="B10" s="165">
        <v>62.12</v>
      </c>
    </row>
    <row r="11" spans="1:2" ht="19.5" customHeight="1" x14ac:dyDescent="0.2">
      <c r="A11" s="166">
        <v>9</v>
      </c>
      <c r="B11" s="165">
        <v>63.73</v>
      </c>
    </row>
    <row r="12" spans="1:2" ht="19.5" customHeight="1" x14ac:dyDescent="0.2">
      <c r="A12" s="166">
        <v>10</v>
      </c>
      <c r="B12" s="165">
        <v>65.180000000000007</v>
      </c>
    </row>
    <row r="13" spans="1:2" ht="19.5" customHeight="1" x14ac:dyDescent="0.2">
      <c r="A13" s="166">
        <v>11</v>
      </c>
      <c r="B13" s="165">
        <v>66.47999999999999</v>
      </c>
    </row>
    <row r="14" spans="1:2" ht="19.5" customHeight="1" x14ac:dyDescent="0.2">
      <c r="A14" s="166">
        <v>12</v>
      </c>
      <c r="B14" s="165">
        <v>67.67</v>
      </c>
    </row>
    <row r="15" spans="1:2" ht="19.5" customHeight="1" x14ac:dyDescent="0.2">
      <c r="A15" s="166">
        <v>13</v>
      </c>
      <c r="B15" s="165">
        <v>68.77</v>
      </c>
    </row>
    <row r="16" spans="1:2" ht="19.5" customHeight="1" x14ac:dyDescent="0.2">
      <c r="A16" s="166">
        <v>14</v>
      </c>
      <c r="B16" s="165">
        <v>69.789999999999992</v>
      </c>
    </row>
    <row r="17" spans="1:2" ht="19.5" customHeight="1" thickBot="1" x14ac:dyDescent="0.25">
      <c r="A17" s="167">
        <v>15</v>
      </c>
      <c r="B17" s="168">
        <v>70.73</v>
      </c>
    </row>
  </sheetData>
  <mergeCells count="1">
    <mergeCell ref="A1:B1"/>
  </mergeCells>
  <pageMargins left="0.90551181102362199" right="0.51181102362204722" top="0.74803149606299213" bottom="0.74803149606299213" header="0.31496062992125984" footer="0.31496062992125984"/>
  <pageSetup paperSize="9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C196" sqref="C196"/>
    </sheetView>
  </sheetViews>
  <sheetFormatPr defaultColWidth="9.140625" defaultRowHeight="12.75" x14ac:dyDescent="0.2"/>
  <cols>
    <col min="1" max="1" width="70.42578125" style="1" customWidth="1"/>
    <col min="2" max="3" width="9.140625" style="1"/>
    <col min="4" max="4" width="12.85546875" style="1" bestFit="1" customWidth="1"/>
    <col min="5" max="16384" width="9.140625" style="1"/>
  </cols>
  <sheetData>
    <row r="1" spans="1:1" ht="18" x14ac:dyDescent="0.25">
      <c r="A1" s="250" t="s">
        <v>238</v>
      </c>
    </row>
    <row r="2" spans="1:1" x14ac:dyDescent="0.2">
      <c r="A2" s="247"/>
    </row>
    <row r="3" spans="1:1" x14ac:dyDescent="0.2">
      <c r="A3" s="247" t="s">
        <v>254</v>
      </c>
    </row>
    <row r="4" spans="1:1" x14ac:dyDescent="0.2">
      <c r="A4" s="247"/>
    </row>
    <row r="5" spans="1:1" x14ac:dyDescent="0.2">
      <c r="A5" s="247"/>
    </row>
    <row r="6" spans="1:1" x14ac:dyDescent="0.2">
      <c r="A6" s="247"/>
    </row>
    <row r="7" spans="1:1" x14ac:dyDescent="0.2">
      <c r="A7" s="247"/>
    </row>
    <row r="8" spans="1:1" x14ac:dyDescent="0.2">
      <c r="A8" s="247"/>
    </row>
    <row r="9" spans="1:1" x14ac:dyDescent="0.2">
      <c r="A9" s="247"/>
    </row>
    <row r="10" spans="1:1" x14ac:dyDescent="0.2">
      <c r="A10" s="247"/>
    </row>
    <row r="11" spans="1:1" x14ac:dyDescent="0.2">
      <c r="A11" s="247"/>
    </row>
    <row r="12" spans="1:1" ht="19.5" x14ac:dyDescent="0.35">
      <c r="A12" s="248" t="s">
        <v>235</v>
      </c>
    </row>
    <row r="13" spans="1:1" ht="15" x14ac:dyDescent="0.2">
      <c r="A13" s="248" t="s">
        <v>110</v>
      </c>
    </row>
    <row r="14" spans="1:1" ht="15" x14ac:dyDescent="0.2">
      <c r="A14" s="248" t="s">
        <v>114</v>
      </c>
    </row>
    <row r="15" spans="1:1" ht="19.5" x14ac:dyDescent="0.35">
      <c r="A15" s="248" t="s">
        <v>236</v>
      </c>
    </row>
    <row r="16" spans="1:1" ht="19.5" x14ac:dyDescent="0.35">
      <c r="A16" s="248" t="s">
        <v>237</v>
      </c>
    </row>
    <row r="17" spans="1:1" ht="15.75" thickBot="1" x14ac:dyDescent="0.25">
      <c r="A17" s="249" t="s">
        <v>111</v>
      </c>
    </row>
  </sheetData>
  <pageMargins left="0.90551181102362199" right="0.51181102362204722" top="0.74803149606299213" bottom="0.74803149606299213" header="0.31496062992125984" footer="0.31496062992125984"/>
  <pageSetup paperSize="9" orientation="portrait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5"/>
  <sheetViews>
    <sheetView workbookViewId="0">
      <selection activeCell="C196" sqref="C196"/>
    </sheetView>
  </sheetViews>
  <sheetFormatPr defaultColWidth="9.140625" defaultRowHeight="12.75" x14ac:dyDescent="0.2"/>
  <cols>
    <col min="1" max="1" width="58.28515625" style="278" customWidth="1"/>
    <col min="2" max="2" width="11.140625" style="278" bestFit="1" customWidth="1"/>
    <col min="3" max="3" width="13.28515625" style="278" bestFit="1" customWidth="1"/>
    <col min="4" max="16384" width="9.140625" style="278"/>
  </cols>
  <sheetData>
    <row r="1" spans="1:7" x14ac:dyDescent="0.2">
      <c r="A1" s="11" t="s">
        <v>202</v>
      </c>
    </row>
    <row r="2" spans="1:7" x14ac:dyDescent="0.2">
      <c r="A2" s="283" t="s">
        <v>266</v>
      </c>
    </row>
    <row r="3" spans="1:7" x14ac:dyDescent="0.2">
      <c r="A3" s="283" t="s">
        <v>292</v>
      </c>
    </row>
    <row r="4" spans="1:7" x14ac:dyDescent="0.2">
      <c r="A4" s="7" t="s">
        <v>290</v>
      </c>
    </row>
    <row r="5" spans="1:7" x14ac:dyDescent="0.2">
      <c r="A5" s="7"/>
    </row>
    <row r="6" spans="1:7" s="4" customFormat="1" ht="15.6" hidden="1" customHeight="1" x14ac:dyDescent="0.2">
      <c r="A6" s="305" t="s">
        <v>301</v>
      </c>
      <c r="B6" s="139"/>
      <c r="C6" s="139"/>
      <c r="D6" s="139"/>
      <c r="E6" s="139"/>
      <c r="F6" s="139"/>
      <c r="G6" s="6"/>
    </row>
    <row r="7" spans="1:7" s="4" customFormat="1" ht="16.5" customHeight="1" x14ac:dyDescent="0.2">
      <c r="A7" s="351" t="s">
        <v>308</v>
      </c>
      <c r="B7" s="5"/>
      <c r="C7" s="5"/>
      <c r="D7" s="6"/>
      <c r="E7" s="6"/>
      <c r="F7" s="6"/>
      <c r="G7" s="6"/>
    </row>
    <row r="8" spans="1:7" s="4" customFormat="1" ht="16.5" customHeight="1" x14ac:dyDescent="0.2">
      <c r="A8" s="351" t="s">
        <v>309</v>
      </c>
      <c r="B8" s="5"/>
      <c r="C8" s="5"/>
      <c r="D8" s="6"/>
      <c r="E8" s="6"/>
      <c r="F8" s="6"/>
      <c r="G8" s="6"/>
    </row>
    <row r="9" spans="1:7" ht="13.5" thickBot="1" x14ac:dyDescent="0.25"/>
    <row r="10" spans="1:7" ht="18" x14ac:dyDescent="0.25">
      <c r="A10" s="503" t="s">
        <v>286</v>
      </c>
      <c r="B10" s="504"/>
      <c r="C10" s="505"/>
    </row>
    <row r="11" spans="1:7" s="284" customFormat="1" ht="18" x14ac:dyDescent="0.25">
      <c r="A11" s="299"/>
      <c r="B11" s="298"/>
      <c r="C11" s="300"/>
    </row>
    <row r="12" spans="1:7" s="108" customFormat="1" ht="15" x14ac:dyDescent="0.25">
      <c r="A12" s="285" t="s">
        <v>287</v>
      </c>
      <c r="B12" s="286" t="s">
        <v>267</v>
      </c>
      <c r="C12" s="287" t="s">
        <v>142</v>
      </c>
    </row>
    <row r="13" spans="1:7" ht="14.25" x14ac:dyDescent="0.2">
      <c r="A13" s="288" t="s">
        <v>275</v>
      </c>
      <c r="B13" s="289" t="s">
        <v>268</v>
      </c>
      <c r="C13" s="205">
        <v>3885</v>
      </c>
    </row>
    <row r="14" spans="1:7" ht="14.25" x14ac:dyDescent="0.2">
      <c r="A14" s="204" t="s">
        <v>276</v>
      </c>
      <c r="B14" s="290" t="s">
        <v>273</v>
      </c>
      <c r="C14" s="291">
        <v>0.65774999999999995</v>
      </c>
    </row>
    <row r="15" spans="1:7" ht="14.25" x14ac:dyDescent="0.2">
      <c r="A15" s="204" t="s">
        <v>277</v>
      </c>
      <c r="B15" s="290" t="s">
        <v>274</v>
      </c>
      <c r="C15" s="403">
        <f>C13*C14/1000</f>
        <v>2.5553587499999999</v>
      </c>
    </row>
    <row r="16" spans="1:7" ht="14.25" x14ac:dyDescent="0.2">
      <c r="A16" s="204" t="s">
        <v>283</v>
      </c>
      <c r="B16" s="290" t="s">
        <v>269</v>
      </c>
      <c r="C16" s="293">
        <f>(C15*30)</f>
        <v>76.660762500000004</v>
      </c>
    </row>
    <row r="17" spans="1:3" ht="14.25" x14ac:dyDescent="0.2">
      <c r="A17" s="204" t="s">
        <v>279</v>
      </c>
      <c r="B17" s="290" t="s">
        <v>96</v>
      </c>
      <c r="C17" s="296">
        <v>3</v>
      </c>
    </row>
    <row r="18" spans="1:3" ht="14.25" x14ac:dyDescent="0.2">
      <c r="A18" s="204" t="s">
        <v>278</v>
      </c>
      <c r="B18" s="290" t="s">
        <v>274</v>
      </c>
      <c r="C18" s="292">
        <f>IFERROR(C15*7/C17,0)</f>
        <v>5.9625037499999998</v>
      </c>
    </row>
    <row r="19" spans="1:3" ht="14.25" x14ac:dyDescent="0.2">
      <c r="A19" s="288" t="s">
        <v>270</v>
      </c>
      <c r="B19" s="290" t="s">
        <v>271</v>
      </c>
      <c r="C19" s="228">
        <v>500</v>
      </c>
    </row>
    <row r="20" spans="1:3" ht="14.25" x14ac:dyDescent="0.2">
      <c r="A20" s="204" t="s">
        <v>284</v>
      </c>
      <c r="B20" s="290"/>
      <c r="C20" s="205">
        <v>1</v>
      </c>
    </row>
    <row r="21" spans="1:3" ht="14.25" x14ac:dyDescent="0.2">
      <c r="A21" s="288" t="s">
        <v>285</v>
      </c>
      <c r="B21" s="290" t="s">
        <v>272</v>
      </c>
      <c r="C21" s="205">
        <v>15</v>
      </c>
    </row>
    <row r="22" spans="1:3" ht="14.25" x14ac:dyDescent="0.2">
      <c r="A22" s="204" t="s">
        <v>280</v>
      </c>
      <c r="B22" s="290" t="s">
        <v>269</v>
      </c>
      <c r="C22" s="228">
        <f>IF(AND(C21&gt;=15,C20=1),5.8,C21/2)</f>
        <v>5.8</v>
      </c>
    </row>
    <row r="23" spans="1:3" ht="14.25" x14ac:dyDescent="0.2">
      <c r="A23" s="288" t="s">
        <v>281</v>
      </c>
      <c r="B23" s="290"/>
      <c r="C23" s="292">
        <f>IFERROR(C18/C22,0)</f>
        <v>1.0280178879310344</v>
      </c>
    </row>
    <row r="24" spans="1:3" ht="14.25" x14ac:dyDescent="0.2">
      <c r="A24" s="288" t="s">
        <v>288</v>
      </c>
      <c r="B24" s="290"/>
      <c r="C24" s="301">
        <v>1</v>
      </c>
    </row>
    <row r="25" spans="1:3" ht="15" thickBot="1" x14ac:dyDescent="0.25">
      <c r="A25" s="294" t="s">
        <v>282</v>
      </c>
      <c r="B25" s="295"/>
      <c r="C25" s="297">
        <f>IFERROR(C23/C24,0)</f>
        <v>1.0280178879310344</v>
      </c>
    </row>
    <row r="26" spans="1:3" ht="14.25" x14ac:dyDescent="0.2">
      <c r="A26" s="314"/>
      <c r="B26" s="214"/>
      <c r="C26" s="315"/>
    </row>
    <row r="27" spans="1:3" ht="14.25" x14ac:dyDescent="0.2">
      <c r="A27" s="314" t="s">
        <v>312</v>
      </c>
    </row>
    <row r="28" spans="1:3" x14ac:dyDescent="0.2">
      <c r="A28" s="278" t="s">
        <v>313</v>
      </c>
    </row>
    <row r="29" spans="1:3" x14ac:dyDescent="0.2">
      <c r="A29" s="278" t="s">
        <v>314</v>
      </c>
    </row>
    <row r="30" spans="1:3" x14ac:dyDescent="0.2">
      <c r="A30" s="278" t="s">
        <v>310</v>
      </c>
    </row>
    <row r="31" spans="1:3" x14ac:dyDescent="0.2">
      <c r="A31" s="278" t="s">
        <v>315</v>
      </c>
    </row>
    <row r="32" spans="1:3" x14ac:dyDescent="0.2">
      <c r="A32" s="278" t="s">
        <v>316</v>
      </c>
    </row>
    <row r="33" spans="1:1" x14ac:dyDescent="0.2">
      <c r="A33" s="278" t="s">
        <v>317</v>
      </c>
    </row>
    <row r="34" spans="1:1" x14ac:dyDescent="0.2">
      <c r="A34" s="278" t="s">
        <v>318</v>
      </c>
    </row>
    <row r="35" spans="1:1" x14ac:dyDescent="0.2">
      <c r="A35" s="278" t="s">
        <v>311</v>
      </c>
    </row>
  </sheetData>
  <mergeCells count="1">
    <mergeCell ref="A10:C10"/>
  </mergeCells>
  <conditionalFormatting sqref="C22">
    <cfRule type="expression" dxfId="0" priority="1">
      <formula>"SE(E(C20&gt;=15;C19=1))"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35"/>
  <sheetViews>
    <sheetView topLeftCell="A18" zoomScaleSheetLayoutView="100" workbookViewId="0">
      <selection activeCell="D268" sqref="D268"/>
    </sheetView>
  </sheetViews>
  <sheetFormatPr defaultColWidth="9.140625" defaultRowHeight="12.75" x14ac:dyDescent="0.2"/>
  <cols>
    <col min="1" max="1" width="44.5703125" style="9" customWidth="1"/>
    <col min="2" max="2" width="16" style="9" bestFit="1" customWidth="1"/>
    <col min="3" max="3" width="11.85546875" style="9" customWidth="1"/>
    <col min="4" max="4" width="14.7109375" style="10" customWidth="1"/>
    <col min="5" max="5" width="15.42578125" style="10" customWidth="1"/>
    <col min="6" max="6" width="13.28515625" style="10" customWidth="1"/>
    <col min="7" max="7" width="28.140625" style="10" customWidth="1"/>
    <col min="8" max="8" width="9.140625" style="9"/>
    <col min="9" max="9" width="14.5703125" style="9" customWidth="1"/>
    <col min="10" max="10" width="13.42578125" style="9" customWidth="1"/>
    <col min="11" max="16384" width="9.140625" style="9"/>
  </cols>
  <sheetData>
    <row r="1" spans="1:7" ht="15.75" x14ac:dyDescent="0.2">
      <c r="A1" s="303" t="s">
        <v>202</v>
      </c>
    </row>
    <row r="2" spans="1:7" ht="15.75" x14ac:dyDescent="0.2">
      <c r="A2" s="351" t="s">
        <v>293</v>
      </c>
    </row>
    <row r="3" spans="1:7" ht="15.75" x14ac:dyDescent="0.2">
      <c r="A3" s="351" t="s">
        <v>294</v>
      </c>
    </row>
    <row r="4" spans="1:7" ht="15.75" x14ac:dyDescent="0.2">
      <c r="A4" s="351" t="s">
        <v>296</v>
      </c>
    </row>
    <row r="5" spans="1:7" s="4" customFormat="1" ht="15.6" customHeight="1" x14ac:dyDescent="0.2">
      <c r="A5" s="303" t="s">
        <v>290</v>
      </c>
      <c r="C5" s="139"/>
      <c r="D5" s="139"/>
      <c r="E5" s="139"/>
      <c r="F5" s="139"/>
      <c r="G5" s="6"/>
    </row>
    <row r="6" spans="1:7" s="4" customFormat="1" ht="15.6" customHeight="1" x14ac:dyDescent="0.2">
      <c r="A6" s="304" t="s">
        <v>295</v>
      </c>
      <c r="B6" s="139"/>
      <c r="C6" s="139"/>
      <c r="D6" s="139"/>
      <c r="E6" s="139"/>
      <c r="F6" s="139"/>
      <c r="G6" s="6"/>
    </row>
    <row r="7" spans="1:7" s="4" customFormat="1" ht="15.6" hidden="1" customHeight="1" x14ac:dyDescent="0.2">
      <c r="A7" s="138"/>
      <c r="B7" s="139"/>
      <c r="C7" s="139"/>
      <c r="D7" s="139"/>
      <c r="E7" s="139"/>
      <c r="F7" s="139"/>
      <c r="G7" s="6"/>
    </row>
    <row r="8" spans="1:7" s="4" customFormat="1" ht="15.6" hidden="1" customHeight="1" x14ac:dyDescent="0.2">
      <c r="A8" s="305" t="s">
        <v>301</v>
      </c>
      <c r="B8" s="139"/>
      <c r="C8" s="139"/>
      <c r="D8" s="139"/>
      <c r="E8" s="139"/>
      <c r="F8" s="139"/>
      <c r="G8" s="6"/>
    </row>
    <row r="9" spans="1:7" s="4" customFormat="1" ht="15.6" customHeight="1" x14ac:dyDescent="0.2">
      <c r="A9" s="351" t="s">
        <v>298</v>
      </c>
      <c r="B9" s="139"/>
      <c r="C9" s="139"/>
      <c r="D9" s="139"/>
      <c r="E9" s="139"/>
      <c r="F9" s="139"/>
      <c r="G9" s="6"/>
    </row>
    <row r="10" spans="1:7" s="4" customFormat="1" ht="16.5" customHeight="1" x14ac:dyDescent="0.2">
      <c r="A10" s="7"/>
      <c r="B10" s="5"/>
      <c r="C10" s="5"/>
      <c r="D10" s="6"/>
      <c r="E10" s="6"/>
      <c r="F10" s="6"/>
      <c r="G10" s="6"/>
    </row>
    <row r="11" spans="1:7" s="4" customFormat="1" ht="16.5" customHeight="1" thickBot="1" x14ac:dyDescent="0.25">
      <c r="A11" s="353" t="s">
        <v>470</v>
      </c>
      <c r="B11" s="5"/>
      <c r="C11" s="5"/>
      <c r="D11" s="6"/>
      <c r="E11" s="6"/>
      <c r="F11" s="6"/>
      <c r="G11" s="6"/>
    </row>
    <row r="12" spans="1:7" s="8" customFormat="1" ht="18" x14ac:dyDescent="0.2">
      <c r="A12" s="433" t="s">
        <v>473</v>
      </c>
      <c r="B12" s="434"/>
      <c r="C12" s="434"/>
      <c r="D12" s="434"/>
      <c r="E12" s="434"/>
      <c r="F12" s="435"/>
      <c r="G12" s="36"/>
    </row>
    <row r="13" spans="1:7" s="8" customFormat="1" ht="21.75" customHeight="1" x14ac:dyDescent="0.2">
      <c r="A13" s="436" t="s">
        <v>45</v>
      </c>
      <c r="B13" s="437"/>
      <c r="C13" s="437"/>
      <c r="D13" s="437"/>
      <c r="E13" s="437"/>
      <c r="F13" s="438"/>
      <c r="G13" s="36"/>
    </row>
    <row r="14" spans="1:7" s="4" customFormat="1" ht="10.9" customHeight="1" thickBot="1" x14ac:dyDescent="0.25">
      <c r="A14" s="151"/>
      <c r="B14" s="152"/>
      <c r="C14" s="152"/>
      <c r="D14" s="153"/>
      <c r="E14" s="153"/>
      <c r="F14" s="154"/>
      <c r="G14" s="6"/>
    </row>
    <row r="15" spans="1:7" s="4" customFormat="1" ht="15.75" customHeight="1" thickBot="1" x14ac:dyDescent="0.25">
      <c r="A15" s="442" t="s">
        <v>201</v>
      </c>
      <c r="B15" s="443"/>
      <c r="C15" s="443"/>
      <c r="D15" s="443"/>
      <c r="E15" s="443"/>
      <c r="F15" s="444"/>
      <c r="G15" s="6"/>
    </row>
    <row r="16" spans="1:7" s="4" customFormat="1" ht="15.75" customHeight="1" x14ac:dyDescent="0.2">
      <c r="A16" s="64" t="s">
        <v>200</v>
      </c>
      <c r="B16" s="40"/>
      <c r="C16" s="40"/>
      <c r="D16" s="261"/>
      <c r="E16" s="115" t="s">
        <v>40</v>
      </c>
      <c r="F16" s="41" t="s">
        <v>2</v>
      </c>
      <c r="G16" s="6"/>
    </row>
    <row r="17" spans="1:7" s="11" customFormat="1" ht="15.75" customHeight="1" x14ac:dyDescent="0.2">
      <c r="A17" s="125" t="str">
        <f>A54</f>
        <v>1. Mão-de-obra</v>
      </c>
      <c r="B17" s="126"/>
      <c r="C17" s="127"/>
      <c r="D17" s="127"/>
      <c r="E17" s="258">
        <f>+F145</f>
        <v>2966.8881403941314</v>
      </c>
      <c r="F17" s="128">
        <f>IFERROR(E17/$E$37,0)</f>
        <v>0.37298381594019037</v>
      </c>
      <c r="G17" s="44"/>
    </row>
    <row r="18" spans="1:7" s="4" customFormat="1" ht="15.75" customHeight="1" x14ac:dyDescent="0.2">
      <c r="A18" s="49" t="str">
        <f>A56</f>
        <v>1.1. Coletor Turno Dia</v>
      </c>
      <c r="B18" s="45"/>
      <c r="C18" s="47"/>
      <c r="D18" s="47"/>
      <c r="E18" s="259">
        <f>F67</f>
        <v>1654.85130588225</v>
      </c>
      <c r="F18" s="58">
        <f>IFERROR(E18/$E$37,0)</f>
        <v>0.20804045372589394</v>
      </c>
      <c r="G18" s="6"/>
    </row>
    <row r="19" spans="1:7" s="4" customFormat="1" ht="15.75" hidden="1" customHeight="1" x14ac:dyDescent="0.2">
      <c r="A19" s="49" t="str">
        <f>A69</f>
        <v>1.2. Coletor Turno Noite</v>
      </c>
      <c r="B19" s="45"/>
      <c r="C19" s="47"/>
      <c r="D19" s="47"/>
      <c r="E19" s="259">
        <f>F86</f>
        <v>0</v>
      </c>
      <c r="F19" s="58">
        <f t="shared" ref="F19:F36" si="0">IFERROR(E19/$E$37,0)</f>
        <v>0</v>
      </c>
      <c r="G19" s="6"/>
    </row>
    <row r="20" spans="1:7" s="4" customFormat="1" ht="15.75" customHeight="1" x14ac:dyDescent="0.2">
      <c r="A20" s="49" t="str">
        <f>A88</f>
        <v>1.3. Motorista Turno do Dia</v>
      </c>
      <c r="B20" s="45"/>
      <c r="C20" s="47"/>
      <c r="D20" s="47"/>
      <c r="E20" s="259">
        <f>F101</f>
        <v>835.93497339299995</v>
      </c>
      <c r="F20" s="58">
        <f t="shared" si="0"/>
        <v>0.1050899803093228</v>
      </c>
      <c r="G20" s="6"/>
    </row>
    <row r="21" spans="1:7" s="4" customFormat="1" ht="15.75" customHeight="1" x14ac:dyDescent="0.2">
      <c r="A21" s="49" t="str">
        <f>A104</f>
        <v>1.4. Encarregado/Supervisor</v>
      </c>
      <c r="B21" s="45"/>
      <c r="C21" s="47"/>
      <c r="D21" s="47"/>
      <c r="E21" s="259">
        <f>F123</f>
        <v>203.5465072727273</v>
      </c>
      <c r="F21" s="58">
        <f t="shared" si="0"/>
        <v>2.5588950243939472E-2</v>
      </c>
      <c r="G21" s="6"/>
    </row>
    <row r="22" spans="1:7" s="4" customFormat="1" ht="15.75" customHeight="1" x14ac:dyDescent="0.2">
      <c r="A22" s="49" t="str">
        <f>A125</f>
        <v>1.5. Vale Transporte</v>
      </c>
      <c r="B22" s="45"/>
      <c r="C22" s="47"/>
      <c r="D22" s="47"/>
      <c r="E22" s="259">
        <f>F131</f>
        <v>44.525353846153848</v>
      </c>
      <c r="F22" s="58">
        <f t="shared" si="0"/>
        <v>5.5975269702684283E-3</v>
      </c>
      <c r="G22" s="6"/>
    </row>
    <row r="23" spans="1:7" s="4" customFormat="1" ht="15.75" customHeight="1" x14ac:dyDescent="0.2">
      <c r="A23" s="49" t="str">
        <f>A133</f>
        <v>1.6. Vale-refeição (diário)</v>
      </c>
      <c r="B23" s="45"/>
      <c r="C23" s="47"/>
      <c r="D23" s="47"/>
      <c r="E23" s="259">
        <f>F137</f>
        <v>198.24</v>
      </c>
      <c r="F23" s="58">
        <f t="shared" si="0"/>
        <v>2.4921840046912204E-2</v>
      </c>
      <c r="G23" s="6"/>
    </row>
    <row r="24" spans="1:7" s="4" customFormat="1" ht="15.75" customHeight="1" x14ac:dyDescent="0.2">
      <c r="A24" s="49" t="str">
        <f>A139</f>
        <v>1.7. Auxílio Alimentação (mensal)</v>
      </c>
      <c r="B24" s="45"/>
      <c r="C24" s="47"/>
      <c r="D24" s="47"/>
      <c r="E24" s="259">
        <f>F143</f>
        <v>29.79</v>
      </c>
      <c r="F24" s="58">
        <f t="shared" si="0"/>
        <v>3.7450646438534833E-3</v>
      </c>
      <c r="G24" s="6"/>
    </row>
    <row r="25" spans="1:7" s="11" customFormat="1" ht="15.75" customHeight="1" x14ac:dyDescent="0.2">
      <c r="A25" s="431" t="str">
        <f>A147</f>
        <v>2. Uniformes e Equipamentos de Proteção Individual</v>
      </c>
      <c r="B25" s="432"/>
      <c r="C25" s="432"/>
      <c r="D25" s="127"/>
      <c r="E25" s="258">
        <f>+F179</f>
        <v>159.13525568181819</v>
      </c>
      <c r="F25" s="128">
        <f t="shared" si="0"/>
        <v>2.0005767695352852E-2</v>
      </c>
      <c r="G25" s="44"/>
    </row>
    <row r="26" spans="1:7" s="11" customFormat="1" ht="15.75" customHeight="1" x14ac:dyDescent="0.2">
      <c r="A26" s="352" t="str">
        <f>A181</f>
        <v>3. Veículos e Equipamentos</v>
      </c>
      <c r="B26" s="137"/>
      <c r="C26" s="127"/>
      <c r="D26" s="127"/>
      <c r="E26" s="258">
        <f>+F260</f>
        <v>3069.6893249517225</v>
      </c>
      <c r="F26" s="128">
        <f t="shared" si="0"/>
        <v>0.3859075179083975</v>
      </c>
      <c r="G26" s="44"/>
    </row>
    <row r="27" spans="1:7" s="4" customFormat="1" ht="15.75" customHeight="1" x14ac:dyDescent="0.2">
      <c r="A27" s="65" t="str">
        <f>A183</f>
        <v>3.1. Veículo Coletor com compactador</v>
      </c>
      <c r="B27" s="46"/>
      <c r="C27" s="47"/>
      <c r="D27" s="47"/>
      <c r="E27" s="259">
        <f>SUM(E28:E33)</f>
        <v>3069.6893249517225</v>
      </c>
      <c r="F27" s="144">
        <f t="shared" si="0"/>
        <v>0.3859075179083975</v>
      </c>
      <c r="G27" s="6"/>
    </row>
    <row r="28" spans="1:7" s="4" customFormat="1" ht="15.75" customHeight="1" x14ac:dyDescent="0.2">
      <c r="A28" s="65" t="str">
        <f>A185</f>
        <v>3.1.1. Depreciação</v>
      </c>
      <c r="B28" s="46"/>
      <c r="C28" s="47"/>
      <c r="D28" s="47"/>
      <c r="E28" s="259">
        <f>F199</f>
        <v>505.32581687500004</v>
      </c>
      <c r="F28" s="144">
        <f t="shared" si="0"/>
        <v>6.3527286015607337E-2</v>
      </c>
      <c r="G28" s="6"/>
    </row>
    <row r="29" spans="1:7" s="4" customFormat="1" ht="15.75" customHeight="1" x14ac:dyDescent="0.2">
      <c r="A29" s="65" t="str">
        <f>A201</f>
        <v>3.1.2. Remuneração do Capital</v>
      </c>
      <c r="B29" s="46"/>
      <c r="C29" s="47"/>
      <c r="D29" s="47"/>
      <c r="E29" s="259">
        <f>F215</f>
        <v>205.06450289531253</v>
      </c>
      <c r="F29" s="144">
        <f t="shared" si="0"/>
        <v>2.577978581747651E-2</v>
      </c>
      <c r="G29" s="6"/>
    </row>
    <row r="30" spans="1:7" s="4" customFormat="1" ht="15.75" customHeight="1" x14ac:dyDescent="0.2">
      <c r="A30" s="65" t="str">
        <f>A217</f>
        <v>3.1.3. Impostos e Seguros</v>
      </c>
      <c r="B30" s="46"/>
      <c r="C30" s="47"/>
      <c r="D30" s="47"/>
      <c r="E30" s="259">
        <f>F223</f>
        <v>94.76355065833333</v>
      </c>
      <c r="F30" s="144">
        <f t="shared" si="0"/>
        <v>1.1913246831035335E-2</v>
      </c>
      <c r="G30" s="6"/>
    </row>
    <row r="31" spans="1:7" s="4" customFormat="1" ht="15.75" customHeight="1" x14ac:dyDescent="0.2">
      <c r="A31" s="65" t="str">
        <f>A225</f>
        <v>3.1.4. Consumos</v>
      </c>
      <c r="B31" s="46"/>
      <c r="C31" s="47"/>
      <c r="D31" s="47"/>
      <c r="E31" s="259">
        <f>F243</f>
        <v>1385.5498545230769</v>
      </c>
      <c r="F31" s="144">
        <f t="shared" si="0"/>
        <v>0.17418508803191382</v>
      </c>
      <c r="G31" s="6"/>
    </row>
    <row r="32" spans="1:7" s="4" customFormat="1" ht="15.75" customHeight="1" x14ac:dyDescent="0.2">
      <c r="A32" s="65" t="str">
        <f>A245</f>
        <v>3.1.5. Manutenção</v>
      </c>
      <c r="B32" s="46"/>
      <c r="C32" s="47"/>
      <c r="D32" s="47"/>
      <c r="E32" s="259">
        <f>F248</f>
        <v>720.48</v>
      </c>
      <c r="F32" s="144">
        <f t="shared" si="0"/>
        <v>9.0575500993741453E-2</v>
      </c>
      <c r="G32" s="6"/>
    </row>
    <row r="33" spans="1:7" s="4" customFormat="1" ht="15.75" customHeight="1" x14ac:dyDescent="0.2">
      <c r="A33" s="65" t="str">
        <f>A250</f>
        <v>3.1.6. Pneus</v>
      </c>
      <c r="B33" s="46"/>
      <c r="C33" s="47"/>
      <c r="D33" s="47"/>
      <c r="E33" s="259">
        <f>F257</f>
        <v>158.50560000000002</v>
      </c>
      <c r="F33" s="144">
        <f t="shared" si="0"/>
        <v>1.992661021862312E-2</v>
      </c>
      <c r="G33" s="6"/>
    </row>
    <row r="34" spans="1:7" s="11" customFormat="1" ht="15.75" customHeight="1" x14ac:dyDescent="0.2">
      <c r="A34" s="352" t="str">
        <f>A262</f>
        <v xml:space="preserve">4. Ferramentas e Materiais de Consumo e Lavagem </v>
      </c>
      <c r="B34" s="137"/>
      <c r="C34" s="127"/>
      <c r="D34" s="127"/>
      <c r="E34" s="258">
        <f>+F272</f>
        <v>85.351666666666659</v>
      </c>
      <c r="F34" s="128">
        <f t="shared" si="0"/>
        <v>1.0730027161037301E-2</v>
      </c>
      <c r="G34" s="44"/>
    </row>
    <row r="35" spans="1:7" s="11" customFormat="1" ht="15.75" customHeight="1" x14ac:dyDescent="0.2">
      <c r="A35" s="352" t="str">
        <f>A274</f>
        <v>5. Monitoramento da Frota</v>
      </c>
      <c r="B35" s="137"/>
      <c r="C35" s="127"/>
      <c r="D35" s="127"/>
      <c r="E35" s="258">
        <f>+F283</f>
        <v>27.5</v>
      </c>
      <c r="F35" s="128">
        <f t="shared" si="0"/>
        <v>3.4571761566287609E-3</v>
      </c>
      <c r="G35" s="44"/>
    </row>
    <row r="36" spans="1:7" s="11" customFormat="1" ht="15.75" customHeight="1" thickBot="1" x14ac:dyDescent="0.25">
      <c r="A36" s="352" t="str">
        <f>A287</f>
        <v>6. Benefícios e Despesas Indiretas - BDI</v>
      </c>
      <c r="B36" s="137"/>
      <c r="C36" s="127"/>
      <c r="D36" s="127"/>
      <c r="E36" s="260">
        <f>+F293</f>
        <v>1645.9044487494532</v>
      </c>
      <c r="F36" s="128">
        <f t="shared" si="0"/>
        <v>0.20691569513839325</v>
      </c>
      <c r="G36" s="44"/>
    </row>
    <row r="37" spans="1:7" s="4" customFormat="1" ht="15.75" customHeight="1" thickBot="1" x14ac:dyDescent="0.25">
      <c r="A37" s="42" t="s">
        <v>243</v>
      </c>
      <c r="B37" s="43"/>
      <c r="C37" s="26"/>
      <c r="D37" s="26"/>
      <c r="E37" s="114">
        <f>E17+E25+E26+E34+E35+E36</f>
        <v>7954.4688364437916</v>
      </c>
      <c r="F37" s="143">
        <f>F17+F25+F26+F34+F35+F36</f>
        <v>1</v>
      </c>
      <c r="G37" s="6"/>
    </row>
    <row r="39" spans="1:7" ht="13.5" thickBot="1" x14ac:dyDescent="0.25"/>
    <row r="40" spans="1:7" s="4" customFormat="1" ht="15" customHeight="1" thickBot="1" x14ac:dyDescent="0.25">
      <c r="A40" s="442" t="s">
        <v>99</v>
      </c>
      <c r="B40" s="443"/>
      <c r="C40" s="443"/>
      <c r="D40" s="443"/>
      <c r="E40" s="444"/>
      <c r="F40" s="10"/>
      <c r="G40" s="6"/>
    </row>
    <row r="41" spans="1:7" s="4" customFormat="1" ht="15" customHeight="1" thickBot="1" x14ac:dyDescent="0.25">
      <c r="A41" s="439" t="s">
        <v>41</v>
      </c>
      <c r="B41" s="440"/>
      <c r="C41" s="440"/>
      <c r="D41" s="441"/>
      <c r="E41" s="48" t="s">
        <v>42</v>
      </c>
      <c r="F41" s="10"/>
      <c r="G41" s="6"/>
    </row>
    <row r="42" spans="1:7" s="4" customFormat="1" ht="15" customHeight="1" x14ac:dyDescent="0.2">
      <c r="A42" s="73" t="str">
        <f>+A56</f>
        <v>1.1. Coletor Turno Dia</v>
      </c>
      <c r="B42" s="74"/>
      <c r="C42" s="74"/>
      <c r="D42" s="75"/>
      <c r="E42" s="76">
        <f>C66</f>
        <v>3</v>
      </c>
      <c r="F42" s="10"/>
      <c r="G42" s="6"/>
    </row>
    <row r="43" spans="1:7" s="4" customFormat="1" ht="15" hidden="1" customHeight="1" x14ac:dyDescent="0.2">
      <c r="A43" s="67" t="str">
        <f>+A69</f>
        <v>1.2. Coletor Turno Noite</v>
      </c>
      <c r="B43" s="66"/>
      <c r="C43" s="66"/>
      <c r="D43" s="77"/>
      <c r="E43" s="70">
        <f>C85</f>
        <v>0</v>
      </c>
      <c r="F43" s="10"/>
      <c r="G43" s="6"/>
    </row>
    <row r="44" spans="1:7" s="4" customFormat="1" ht="15" customHeight="1" x14ac:dyDescent="0.2">
      <c r="A44" s="67" t="str">
        <f>+A88</f>
        <v>1.3. Motorista Turno do Dia</v>
      </c>
      <c r="B44" s="66"/>
      <c r="C44" s="66"/>
      <c r="D44" s="77"/>
      <c r="E44" s="70">
        <f>C100</f>
        <v>1</v>
      </c>
      <c r="F44" s="10"/>
      <c r="G44" s="6"/>
    </row>
    <row r="45" spans="1:7" s="4" customFormat="1" ht="15" customHeight="1" x14ac:dyDescent="0.2">
      <c r="A45" s="67" t="str">
        <f>+A104</f>
        <v>1.4. Encarregado/Supervisor</v>
      </c>
      <c r="B45" s="66"/>
      <c r="C45" s="66"/>
      <c r="D45" s="77"/>
      <c r="E45" s="70">
        <f>C122</f>
        <v>1</v>
      </c>
      <c r="F45" s="10"/>
      <c r="G45" s="6"/>
    </row>
    <row r="46" spans="1:7" s="4" customFormat="1" ht="15" customHeight="1" thickBot="1" x14ac:dyDescent="0.25">
      <c r="A46" s="71" t="s">
        <v>60</v>
      </c>
      <c r="B46" s="72"/>
      <c r="C46" s="72"/>
      <c r="D46" s="78"/>
      <c r="E46" s="79">
        <f>SUM(E42:E45)</f>
        <v>5</v>
      </c>
      <c r="F46" s="10"/>
      <c r="G46" s="6"/>
    </row>
    <row r="47" spans="1:7" s="4" customFormat="1" ht="15" customHeight="1" thickBot="1" x14ac:dyDescent="0.25">
      <c r="A47" s="129"/>
      <c r="B47" s="130"/>
      <c r="C47" s="59"/>
      <c r="D47" s="59"/>
      <c r="E47" s="131"/>
      <c r="F47" s="10"/>
      <c r="G47" s="6"/>
    </row>
    <row r="48" spans="1:7" s="4" customFormat="1" ht="15" customHeight="1" x14ac:dyDescent="0.2">
      <c r="A48" s="429" t="s">
        <v>58</v>
      </c>
      <c r="B48" s="430"/>
      <c r="C48" s="430"/>
      <c r="D48" s="430"/>
      <c r="E48" s="48" t="s">
        <v>42</v>
      </c>
      <c r="F48" s="9"/>
      <c r="G48" s="6"/>
    </row>
    <row r="49" spans="1:7" s="4" customFormat="1" ht="15" customHeight="1" thickBot="1" x14ac:dyDescent="0.25">
      <c r="A49" s="132" t="str">
        <f>+A183</f>
        <v>3.1. Veículo Coletor com compactador</v>
      </c>
      <c r="B49" s="133"/>
      <c r="C49" s="133"/>
      <c r="D49" s="134"/>
      <c r="E49" s="135">
        <f>C198</f>
        <v>1.1000000000000001</v>
      </c>
      <c r="F49" s="9"/>
      <c r="G49" s="6"/>
    </row>
    <row r="50" spans="1:7" s="4" customFormat="1" ht="15" customHeight="1" x14ac:dyDescent="0.2">
      <c r="A50" s="59"/>
      <c r="B50" s="59"/>
      <c r="C50" s="59"/>
      <c r="D50" s="54"/>
      <c r="E50" s="251"/>
      <c r="F50" s="9"/>
      <c r="G50" s="6"/>
    </row>
    <row r="51" spans="1:7" s="4" customFormat="1" ht="13.5" thickBot="1" x14ac:dyDescent="0.25">
      <c r="A51" s="59"/>
      <c r="B51" s="59"/>
      <c r="C51" s="59"/>
      <c r="D51" s="54"/>
      <c r="E51" s="68"/>
      <c r="F51" s="9"/>
      <c r="G51" s="6"/>
    </row>
    <row r="52" spans="1:7" s="11" customFormat="1" ht="15.75" customHeight="1" thickBot="1" x14ac:dyDescent="0.25">
      <c r="A52" s="262" t="s">
        <v>195</v>
      </c>
      <c r="B52" s="328">
        <f>Horários!F49/Horários!F50</f>
        <v>0.17897727272727273</v>
      </c>
      <c r="C52" s="35"/>
      <c r="D52" s="34"/>
      <c r="E52" s="156"/>
      <c r="G52" s="44"/>
    </row>
    <row r="53" spans="1:7" s="4" customFormat="1" ht="15.75" customHeight="1" x14ac:dyDescent="0.2">
      <c r="A53" s="59"/>
      <c r="B53" s="59"/>
      <c r="C53" s="59"/>
      <c r="D53" s="54"/>
      <c r="E53" s="68"/>
      <c r="F53" s="9"/>
      <c r="G53" s="6"/>
    </row>
    <row r="54" spans="1:7" ht="13.15" customHeight="1" x14ac:dyDescent="0.2">
      <c r="A54" s="11" t="s">
        <v>49</v>
      </c>
    </row>
    <row r="55" spans="1:7" ht="11.25" customHeight="1" x14ac:dyDescent="0.2"/>
    <row r="56" spans="1:7" ht="13.9" customHeight="1" thickBot="1" x14ac:dyDescent="0.25">
      <c r="A56" s="9" t="s">
        <v>102</v>
      </c>
    </row>
    <row r="57" spans="1:7" ht="13.9" customHeight="1" thickBot="1" x14ac:dyDescent="0.25">
      <c r="A57" s="60" t="s">
        <v>65</v>
      </c>
      <c r="B57" s="61" t="s">
        <v>66</v>
      </c>
      <c r="C57" s="61" t="s">
        <v>42</v>
      </c>
      <c r="D57" s="62" t="s">
        <v>239</v>
      </c>
      <c r="E57" s="62" t="s">
        <v>67</v>
      </c>
      <c r="F57" s="63" t="s">
        <v>68</v>
      </c>
    </row>
    <row r="58" spans="1:7" ht="13.15" customHeight="1" x14ac:dyDescent="0.2">
      <c r="A58" s="13" t="s">
        <v>216</v>
      </c>
      <c r="B58" s="14" t="s">
        <v>8</v>
      </c>
      <c r="C58" s="14">
        <v>1</v>
      </c>
      <c r="D58" s="327">
        <v>1278.2</v>
      </c>
      <c r="E58" s="15">
        <f>C58*D58</f>
        <v>1278.2</v>
      </c>
    </row>
    <row r="59" spans="1:7" hidden="1" x14ac:dyDescent="0.2">
      <c r="A59" s="16" t="s">
        <v>36</v>
      </c>
      <c r="B59" s="17" t="s">
        <v>0</v>
      </c>
      <c r="C59" s="88"/>
      <c r="D59" s="18">
        <f>D58/220*2</f>
        <v>11.620000000000001</v>
      </c>
      <c r="E59" s="18">
        <f>C59*D59</f>
        <v>0</v>
      </c>
      <c r="G59" s="10" t="s">
        <v>255</v>
      </c>
    </row>
    <row r="60" spans="1:7" ht="13.15" hidden="1" customHeight="1" x14ac:dyDescent="0.2">
      <c r="A60" s="16" t="s">
        <v>37</v>
      </c>
      <c r="B60" s="17" t="s">
        <v>0</v>
      </c>
      <c r="C60" s="88"/>
      <c r="D60" s="18">
        <f>D58/220*1.5</f>
        <v>8.7149999999999999</v>
      </c>
      <c r="E60" s="18">
        <f>C60*D60</f>
        <v>0</v>
      </c>
      <c r="G60" s="10" t="s">
        <v>257</v>
      </c>
    </row>
    <row r="61" spans="1:7" ht="13.15" hidden="1" customHeight="1" x14ac:dyDescent="0.2">
      <c r="A61" s="16" t="s">
        <v>220</v>
      </c>
      <c r="B61" s="17" t="s">
        <v>35</v>
      </c>
      <c r="D61" s="18">
        <f>63/302*(SUM(E59:E60))</f>
        <v>0</v>
      </c>
      <c r="E61" s="18">
        <f>D61</f>
        <v>0</v>
      </c>
      <c r="G61" s="10" t="s">
        <v>219</v>
      </c>
    </row>
    <row r="62" spans="1:7" x14ac:dyDescent="0.2">
      <c r="A62" s="16" t="s">
        <v>1</v>
      </c>
      <c r="B62" s="17" t="s">
        <v>2</v>
      </c>
      <c r="C62" s="17">
        <v>40</v>
      </c>
      <c r="D62" s="83">
        <f>SUM(E58:E61)</f>
        <v>1278.2</v>
      </c>
      <c r="E62" s="18">
        <f>C62*D62/100</f>
        <v>511.28</v>
      </c>
    </row>
    <row r="63" spans="1:7" x14ac:dyDescent="0.2">
      <c r="A63" s="116" t="s">
        <v>3</v>
      </c>
      <c r="B63" s="117"/>
      <c r="C63" s="117"/>
      <c r="D63" s="118"/>
      <c r="E63" s="119">
        <f>SUM(E58:E62)</f>
        <v>1789.48</v>
      </c>
    </row>
    <row r="64" spans="1:7" x14ac:dyDescent="0.2">
      <c r="A64" s="16" t="s">
        <v>4</v>
      </c>
      <c r="B64" s="17" t="s">
        <v>2</v>
      </c>
      <c r="C64" s="141">
        <f>'3.Encargos Sociais'!$C$38*100</f>
        <v>72.231660000000005</v>
      </c>
      <c r="D64" s="18">
        <f>E63</f>
        <v>1789.48</v>
      </c>
      <c r="E64" s="18">
        <f>D64*C64/100</f>
        <v>1292.571109368</v>
      </c>
    </row>
    <row r="65" spans="1:7" x14ac:dyDescent="0.2">
      <c r="A65" s="116" t="s">
        <v>75</v>
      </c>
      <c r="B65" s="117"/>
      <c r="C65" s="117"/>
      <c r="D65" s="118"/>
      <c r="E65" s="119">
        <f>E63+E64</f>
        <v>3082.0511093679997</v>
      </c>
    </row>
    <row r="66" spans="1:7" ht="13.5" thickBot="1" x14ac:dyDescent="0.25">
      <c r="A66" s="16" t="s">
        <v>5</v>
      </c>
      <c r="B66" s="17" t="s">
        <v>6</v>
      </c>
      <c r="C66" s="86">
        <v>3</v>
      </c>
      <c r="D66" s="18">
        <f>E65</f>
        <v>3082.0511093679997</v>
      </c>
      <c r="E66" s="18">
        <f>C66*D66</f>
        <v>9246.1533281039992</v>
      </c>
      <c r="G66" s="6"/>
    </row>
    <row r="67" spans="1:7" ht="13.9" customHeight="1" thickBot="1" x14ac:dyDescent="0.25">
      <c r="D67" s="123" t="s">
        <v>194</v>
      </c>
      <c r="E67" s="329">
        <f>$B$52</f>
        <v>0.17897727272727273</v>
      </c>
      <c r="F67" s="124">
        <f>E66*E67</f>
        <v>1654.85130588225</v>
      </c>
      <c r="G67" s="6"/>
    </row>
    <row r="68" spans="1:7" ht="11.25" customHeight="1" x14ac:dyDescent="0.2"/>
    <row r="69" spans="1:7" hidden="1" x14ac:dyDescent="0.2">
      <c r="A69" s="9" t="s">
        <v>93</v>
      </c>
    </row>
    <row r="70" spans="1:7" ht="13.5" hidden="1" thickBot="1" x14ac:dyDescent="0.25">
      <c r="A70" s="60" t="s">
        <v>65</v>
      </c>
      <c r="B70" s="61" t="s">
        <v>66</v>
      </c>
      <c r="C70" s="61" t="s">
        <v>42</v>
      </c>
      <c r="D70" s="62" t="s">
        <v>239</v>
      </c>
      <c r="E70" s="62" t="s">
        <v>67</v>
      </c>
      <c r="F70" s="63" t="s">
        <v>68</v>
      </c>
    </row>
    <row r="71" spans="1:7" hidden="1" x14ac:dyDescent="0.2">
      <c r="A71" s="13" t="s">
        <v>216</v>
      </c>
      <c r="B71" s="14" t="s">
        <v>8</v>
      </c>
      <c r="C71" s="14">
        <v>1</v>
      </c>
      <c r="D71" s="15">
        <f>D58</f>
        <v>1278.2</v>
      </c>
      <c r="E71" s="15">
        <f>C71*D71</f>
        <v>1278.2</v>
      </c>
    </row>
    <row r="72" spans="1:7" hidden="1" x14ac:dyDescent="0.2">
      <c r="A72" s="16" t="s">
        <v>7</v>
      </c>
      <c r="B72" s="17" t="s">
        <v>100</v>
      </c>
      <c r="C72" s="88"/>
      <c r="D72" s="18"/>
      <c r="E72" s="18"/>
    </row>
    <row r="73" spans="1:7" hidden="1" x14ac:dyDescent="0.2">
      <c r="A73" s="16"/>
      <c r="B73" s="17" t="s">
        <v>104</v>
      </c>
      <c r="C73" s="120">
        <f>C72*8/7</f>
        <v>0</v>
      </c>
      <c r="D73" s="18">
        <f>D71/220*0.2</f>
        <v>1.1620000000000001</v>
      </c>
      <c r="E73" s="18">
        <f>C72*D73</f>
        <v>0</v>
      </c>
    </row>
    <row r="74" spans="1:7" hidden="1" x14ac:dyDescent="0.2">
      <c r="A74" s="16" t="s">
        <v>36</v>
      </c>
      <c r="B74" s="17" t="s">
        <v>0</v>
      </c>
      <c r="C74" s="88"/>
      <c r="D74" s="18">
        <f>D71/220*2</f>
        <v>11.620000000000001</v>
      </c>
      <c r="E74" s="18">
        <f>C74*D74</f>
        <v>0</v>
      </c>
      <c r="G74" s="10" t="s">
        <v>255</v>
      </c>
    </row>
    <row r="75" spans="1:7" hidden="1" x14ac:dyDescent="0.2">
      <c r="A75" s="16" t="s">
        <v>101</v>
      </c>
      <c r="B75" s="17" t="s">
        <v>100</v>
      </c>
      <c r="C75" s="88"/>
      <c r="D75" s="18"/>
      <c r="E75" s="18"/>
      <c r="G75" s="10" t="s">
        <v>256</v>
      </c>
    </row>
    <row r="76" spans="1:7" hidden="1" x14ac:dyDescent="0.2">
      <c r="A76" s="16"/>
      <c r="B76" s="17" t="s">
        <v>104</v>
      </c>
      <c r="C76" s="120">
        <f>C75*8/7</f>
        <v>0</v>
      </c>
      <c r="D76" s="18">
        <f>D71/220*2*1.2</f>
        <v>13.944000000000001</v>
      </c>
      <c r="E76" s="18">
        <f>C76*D76</f>
        <v>0</v>
      </c>
      <c r="G76" s="10" t="s">
        <v>256</v>
      </c>
    </row>
    <row r="77" spans="1:7" hidden="1" x14ac:dyDescent="0.2">
      <c r="A77" s="16" t="s">
        <v>37</v>
      </c>
      <c r="B77" s="17" t="s">
        <v>0</v>
      </c>
      <c r="C77" s="88"/>
      <c r="D77" s="18">
        <f>D71/220*1.5</f>
        <v>8.7149999999999999</v>
      </c>
      <c r="E77" s="18">
        <f>C77*D77</f>
        <v>0</v>
      </c>
      <c r="G77" s="10" t="s">
        <v>257</v>
      </c>
    </row>
    <row r="78" spans="1:7" hidden="1" x14ac:dyDescent="0.2">
      <c r="A78" s="16" t="s">
        <v>218</v>
      </c>
      <c r="B78" s="17" t="s">
        <v>100</v>
      </c>
      <c r="C78" s="88"/>
      <c r="D78" s="18"/>
      <c r="E78" s="18"/>
      <c r="G78" s="10" t="s">
        <v>258</v>
      </c>
    </row>
    <row r="79" spans="1:7" hidden="1" x14ac:dyDescent="0.2">
      <c r="A79" s="16"/>
      <c r="B79" s="17" t="s">
        <v>104</v>
      </c>
      <c r="C79" s="18">
        <f>C78*8/7</f>
        <v>0</v>
      </c>
      <c r="D79" s="18">
        <f>D71/220*1.5*1.2</f>
        <v>10.458</v>
      </c>
      <c r="E79" s="18">
        <f>C79*D79</f>
        <v>0</v>
      </c>
      <c r="G79" s="10" t="s">
        <v>258</v>
      </c>
    </row>
    <row r="80" spans="1:7" ht="13.15" hidden="1" customHeight="1" x14ac:dyDescent="0.2">
      <c r="A80" s="16" t="s">
        <v>220</v>
      </c>
      <c r="B80" s="17" t="s">
        <v>35</v>
      </c>
      <c r="D80" s="18">
        <f>63/302*(SUM(E74:E79))</f>
        <v>0</v>
      </c>
      <c r="E80" s="18">
        <f>D80</f>
        <v>0</v>
      </c>
      <c r="G80" s="10" t="s">
        <v>219</v>
      </c>
    </row>
    <row r="81" spans="1:7" hidden="1" x14ac:dyDescent="0.2">
      <c r="A81" s="16" t="s">
        <v>1</v>
      </c>
      <c r="B81" s="17" t="s">
        <v>2</v>
      </c>
      <c r="C81" s="17">
        <f>+C62</f>
        <v>40</v>
      </c>
      <c r="D81" s="83">
        <f>SUM(E71:E80)</f>
        <v>1278.2</v>
      </c>
      <c r="E81" s="18">
        <f>C81*D81/100</f>
        <v>511.28</v>
      </c>
    </row>
    <row r="82" spans="1:7" hidden="1" x14ac:dyDescent="0.2">
      <c r="A82" s="116" t="s">
        <v>3</v>
      </c>
      <c r="B82" s="117"/>
      <c r="C82" s="117"/>
      <c r="D82" s="118"/>
      <c r="E82" s="119">
        <f>SUM(E71:E81)</f>
        <v>1789.48</v>
      </c>
    </row>
    <row r="83" spans="1:7" hidden="1" x14ac:dyDescent="0.2">
      <c r="A83" s="16" t="s">
        <v>4</v>
      </c>
      <c r="B83" s="17" t="s">
        <v>2</v>
      </c>
      <c r="C83" s="141">
        <f>'3.Encargos Sociais'!$C$38*100</f>
        <v>72.231660000000005</v>
      </c>
      <c r="D83" s="18">
        <f>E82</f>
        <v>1789.48</v>
      </c>
      <c r="E83" s="18">
        <f>D83*C83/100</f>
        <v>1292.571109368</v>
      </c>
    </row>
    <row r="84" spans="1:7" hidden="1" x14ac:dyDescent="0.2">
      <c r="A84" s="116" t="s">
        <v>75</v>
      </c>
      <c r="B84" s="117"/>
      <c r="C84" s="117"/>
      <c r="D84" s="118"/>
      <c r="E84" s="119">
        <f>E82+E83</f>
        <v>3082.0511093679997</v>
      </c>
    </row>
    <row r="85" spans="1:7" hidden="1" x14ac:dyDescent="0.2">
      <c r="A85" s="16" t="s">
        <v>5</v>
      </c>
      <c r="B85" s="17" t="s">
        <v>6</v>
      </c>
      <c r="C85" s="86"/>
      <c r="D85" s="18">
        <f>E84</f>
        <v>3082.0511093679997</v>
      </c>
      <c r="E85" s="18">
        <f>C85*D85</f>
        <v>0</v>
      </c>
    </row>
    <row r="86" spans="1:7" ht="13.5" hidden="1" thickBot="1" x14ac:dyDescent="0.25">
      <c r="D86" s="123" t="s">
        <v>194</v>
      </c>
      <c r="E86" s="50">
        <f>$B$52</f>
        <v>0.17897727272727273</v>
      </c>
      <c r="F86" s="124">
        <f>E85*E86</f>
        <v>0</v>
      </c>
    </row>
    <row r="87" spans="1:7" ht="11.25" customHeight="1" x14ac:dyDescent="0.2"/>
    <row r="88" spans="1:7" ht="13.5" thickBot="1" x14ac:dyDescent="0.25">
      <c r="A88" s="9" t="s">
        <v>103</v>
      </c>
    </row>
    <row r="89" spans="1:7" s="12" customFormat="1" ht="13.15" customHeight="1" thickBot="1" x14ac:dyDescent="0.25">
      <c r="A89" s="60" t="s">
        <v>65</v>
      </c>
      <c r="B89" s="61" t="s">
        <v>66</v>
      </c>
      <c r="C89" s="61" t="s">
        <v>42</v>
      </c>
      <c r="D89" s="62" t="s">
        <v>239</v>
      </c>
      <c r="E89" s="62" t="s">
        <v>67</v>
      </c>
      <c r="F89" s="63" t="s">
        <v>68</v>
      </c>
      <c r="G89" s="10"/>
    </row>
    <row r="90" spans="1:7" x14ac:dyDescent="0.2">
      <c r="A90" s="308" t="s">
        <v>299</v>
      </c>
      <c r="B90" s="14" t="s">
        <v>8</v>
      </c>
      <c r="C90" s="14">
        <v>1</v>
      </c>
      <c r="D90" s="327">
        <v>1741.82</v>
      </c>
      <c r="E90" s="15">
        <f>C90*D90</f>
        <v>1741.82</v>
      </c>
    </row>
    <row r="91" spans="1:7" x14ac:dyDescent="0.2">
      <c r="A91" s="308" t="s">
        <v>300</v>
      </c>
      <c r="B91" s="14" t="s">
        <v>8</v>
      </c>
      <c r="C91" s="14">
        <v>1</v>
      </c>
      <c r="D91" s="87">
        <v>998</v>
      </c>
      <c r="E91" s="15"/>
    </row>
    <row r="92" spans="1:7" hidden="1" x14ac:dyDescent="0.2">
      <c r="A92" s="16" t="s">
        <v>36</v>
      </c>
      <c r="B92" s="17" t="s">
        <v>0</v>
      </c>
      <c r="C92" s="88"/>
      <c r="D92" s="18">
        <f>D90/220*2</f>
        <v>15.834727272727273</v>
      </c>
      <c r="E92" s="18">
        <f>C92*D92</f>
        <v>0</v>
      </c>
      <c r="G92" s="10" t="s">
        <v>255</v>
      </c>
    </row>
    <row r="93" spans="1:7" hidden="1" x14ac:dyDescent="0.2">
      <c r="A93" s="16" t="s">
        <v>37</v>
      </c>
      <c r="B93" s="17" t="s">
        <v>0</v>
      </c>
      <c r="C93" s="88"/>
      <c r="D93" s="18">
        <f>D90/220*1.5</f>
        <v>11.876045454545455</v>
      </c>
      <c r="E93" s="18">
        <f>C93*D93</f>
        <v>0</v>
      </c>
      <c r="G93" s="10" t="s">
        <v>257</v>
      </c>
    </row>
    <row r="94" spans="1:7" ht="13.15" hidden="1" customHeight="1" x14ac:dyDescent="0.2">
      <c r="A94" s="16" t="s">
        <v>220</v>
      </c>
      <c r="B94" s="17" t="s">
        <v>35</v>
      </c>
      <c r="D94" s="18">
        <f>63/302*(SUM(E92:E93))</f>
        <v>0</v>
      </c>
      <c r="E94" s="18">
        <f>D94</f>
        <v>0</v>
      </c>
      <c r="G94" s="10" t="s">
        <v>219</v>
      </c>
    </row>
    <row r="95" spans="1:7" x14ac:dyDescent="0.2">
      <c r="A95" s="16" t="s">
        <v>217</v>
      </c>
      <c r="B95" s="17"/>
      <c r="C95" s="90">
        <v>1</v>
      </c>
      <c r="D95" s="18"/>
      <c r="E95" s="18"/>
    </row>
    <row r="96" spans="1:7" x14ac:dyDescent="0.2">
      <c r="A96" s="16" t="s">
        <v>1</v>
      </c>
      <c r="B96" s="17" t="s">
        <v>2</v>
      </c>
      <c r="C96" s="86">
        <v>20</v>
      </c>
      <c r="D96" s="83">
        <f>IF(C95=2,SUM(E90:E94),IF(C95=1,(SUM(E90:E94))*D91/D90,0))</f>
        <v>998</v>
      </c>
      <c r="E96" s="18">
        <f>C96*D96/100</f>
        <v>199.6</v>
      </c>
    </row>
    <row r="97" spans="1:7" s="11" customFormat="1" x14ac:dyDescent="0.2">
      <c r="A97" s="103" t="s">
        <v>3</v>
      </c>
      <c r="B97" s="117"/>
      <c r="C97" s="117"/>
      <c r="D97" s="118"/>
      <c r="E97" s="105">
        <f>SUM(E90:E96)</f>
        <v>1941.4199999999998</v>
      </c>
      <c r="F97" s="44"/>
      <c r="G97" s="44"/>
    </row>
    <row r="98" spans="1:7" x14ac:dyDescent="0.2">
      <c r="A98" s="16" t="s">
        <v>4</v>
      </c>
      <c r="B98" s="17" t="s">
        <v>2</v>
      </c>
      <c r="C98" s="141">
        <f>'3.Encargos Sociais'!$C$38*100</f>
        <v>72.231660000000005</v>
      </c>
      <c r="D98" s="18">
        <f>E97</f>
        <v>1941.4199999999998</v>
      </c>
      <c r="E98" s="18">
        <f>D98*C98/100</f>
        <v>1402.319893572</v>
      </c>
    </row>
    <row r="99" spans="1:7" s="11" customFormat="1" x14ac:dyDescent="0.2">
      <c r="A99" s="103" t="s">
        <v>259</v>
      </c>
      <c r="B99" s="268"/>
      <c r="C99" s="268"/>
      <c r="D99" s="269"/>
      <c r="E99" s="105">
        <f>E97+E98</f>
        <v>3343.7398935719998</v>
      </c>
      <c r="F99" s="44"/>
      <c r="G99" s="44"/>
    </row>
    <row r="100" spans="1:7" ht="13.5" thickBot="1" x14ac:dyDescent="0.25">
      <c r="A100" s="16" t="s">
        <v>5</v>
      </c>
      <c r="B100" s="17" t="s">
        <v>6</v>
      </c>
      <c r="C100" s="86">
        <v>1</v>
      </c>
      <c r="D100" s="18">
        <f>E99</f>
        <v>3343.7398935719998</v>
      </c>
      <c r="E100" s="18">
        <f>C100*D100</f>
        <v>3343.7398935719998</v>
      </c>
    </row>
    <row r="101" spans="1:7" ht="13.5" thickBot="1" x14ac:dyDescent="0.25">
      <c r="A101" s="7" t="s">
        <v>325</v>
      </c>
      <c r="D101" s="123" t="s">
        <v>194</v>
      </c>
      <c r="E101" s="329">
        <f>Horários!F61/Horários!F62</f>
        <v>0.25</v>
      </c>
      <c r="F101" s="124">
        <f>E100*E101</f>
        <v>835.93497339299995</v>
      </c>
    </row>
    <row r="102" spans="1:7" ht="11.25" customHeight="1" x14ac:dyDescent="0.2">
      <c r="A102" s="7" t="s">
        <v>402</v>
      </c>
    </row>
    <row r="103" spans="1:7" ht="11.25" customHeight="1" x14ac:dyDescent="0.2">
      <c r="A103" s="7"/>
    </row>
    <row r="104" spans="1:7" ht="13.5" thickBot="1" x14ac:dyDescent="0.25">
      <c r="A104" s="7" t="s">
        <v>408</v>
      </c>
    </row>
    <row r="105" spans="1:7" ht="13.5" thickBot="1" x14ac:dyDescent="0.25">
      <c r="A105" s="60" t="s">
        <v>65</v>
      </c>
      <c r="B105" s="61" t="s">
        <v>66</v>
      </c>
      <c r="C105" s="61" t="s">
        <v>42</v>
      </c>
      <c r="D105" s="62" t="s">
        <v>239</v>
      </c>
      <c r="E105" s="62" t="s">
        <v>67</v>
      </c>
      <c r="F105" s="63" t="s">
        <v>68</v>
      </c>
    </row>
    <row r="106" spans="1:7" x14ac:dyDescent="0.2">
      <c r="A106" s="308" t="s">
        <v>299</v>
      </c>
      <c r="B106" s="14" t="s">
        <v>8</v>
      </c>
      <c r="C106" s="14">
        <v>1</v>
      </c>
      <c r="D106" s="15">
        <v>2600</v>
      </c>
      <c r="E106" s="15">
        <f>C106*D106</f>
        <v>2600</v>
      </c>
    </row>
    <row r="107" spans="1:7" hidden="1" x14ac:dyDescent="0.2">
      <c r="A107" s="308" t="s">
        <v>300</v>
      </c>
      <c r="B107" s="14" t="s">
        <v>8</v>
      </c>
      <c r="C107" s="14">
        <v>1</v>
      </c>
      <c r="D107" s="18">
        <f>D91</f>
        <v>998</v>
      </c>
      <c r="E107" s="18"/>
    </row>
    <row r="108" spans="1:7" hidden="1" x14ac:dyDescent="0.2">
      <c r="A108" s="16" t="s">
        <v>7</v>
      </c>
      <c r="B108" s="17" t="s">
        <v>100</v>
      </c>
      <c r="C108" s="88"/>
      <c r="D108" s="16"/>
      <c r="E108" s="16"/>
    </row>
    <row r="109" spans="1:7" hidden="1" x14ac:dyDescent="0.2">
      <c r="A109" s="16"/>
      <c r="B109" s="17" t="s">
        <v>104</v>
      </c>
      <c r="C109" s="18">
        <f>C108*8/7</f>
        <v>0</v>
      </c>
      <c r="D109" s="18">
        <f>D106/220*0.2</f>
        <v>2.3636363636363638</v>
      </c>
      <c r="E109" s="18">
        <f>C108*D109</f>
        <v>0</v>
      </c>
    </row>
    <row r="110" spans="1:7" hidden="1" x14ac:dyDescent="0.2">
      <c r="A110" s="16" t="s">
        <v>36</v>
      </c>
      <c r="B110" s="17" t="s">
        <v>0</v>
      </c>
      <c r="C110" s="88"/>
      <c r="D110" s="18">
        <f>D106/220*2</f>
        <v>23.636363636363637</v>
      </c>
      <c r="E110" s="18">
        <f>C110*D110</f>
        <v>0</v>
      </c>
      <c r="G110" s="10" t="s">
        <v>255</v>
      </c>
    </row>
    <row r="111" spans="1:7" hidden="1" x14ac:dyDescent="0.2">
      <c r="A111" s="16" t="s">
        <v>101</v>
      </c>
      <c r="B111" s="17" t="s">
        <v>100</v>
      </c>
      <c r="C111" s="88"/>
      <c r="D111" s="18"/>
      <c r="E111" s="18"/>
      <c r="G111" s="10" t="s">
        <v>256</v>
      </c>
    </row>
    <row r="112" spans="1:7" hidden="1" x14ac:dyDescent="0.2">
      <c r="A112" s="16"/>
      <c r="B112" s="17" t="s">
        <v>104</v>
      </c>
      <c r="C112" s="18">
        <f>C111*8/7</f>
        <v>0</v>
      </c>
      <c r="D112" s="18">
        <f>D106/220*2*1.2</f>
        <v>28.363636363636363</v>
      </c>
      <c r="E112" s="18">
        <f>C112*D112</f>
        <v>0</v>
      </c>
      <c r="G112" s="10" t="s">
        <v>256</v>
      </c>
    </row>
    <row r="113" spans="1:7" hidden="1" x14ac:dyDescent="0.2">
      <c r="A113" s="16" t="s">
        <v>37</v>
      </c>
      <c r="B113" s="17" t="s">
        <v>0</v>
      </c>
      <c r="C113" s="88"/>
      <c r="D113" s="18">
        <f>D106/220*1.5</f>
        <v>17.727272727272727</v>
      </c>
      <c r="E113" s="18">
        <f>C113*D113</f>
        <v>0</v>
      </c>
      <c r="G113" s="10" t="s">
        <v>257</v>
      </c>
    </row>
    <row r="114" spans="1:7" hidden="1" x14ac:dyDescent="0.2">
      <c r="A114" s="16" t="s">
        <v>218</v>
      </c>
      <c r="B114" s="17" t="s">
        <v>100</v>
      </c>
      <c r="C114" s="88"/>
      <c r="D114" s="18"/>
      <c r="E114" s="18"/>
      <c r="G114" s="10" t="s">
        <v>258</v>
      </c>
    </row>
    <row r="115" spans="1:7" hidden="1" x14ac:dyDescent="0.2">
      <c r="A115" s="16"/>
      <c r="B115" s="17" t="s">
        <v>104</v>
      </c>
      <c r="C115" s="18">
        <f>C114*8/7</f>
        <v>0</v>
      </c>
      <c r="D115" s="18">
        <f>D106/220*1.5*1.2</f>
        <v>21.27272727272727</v>
      </c>
      <c r="E115" s="18">
        <f>C115*D115</f>
        <v>0</v>
      </c>
      <c r="G115" s="10" t="s">
        <v>258</v>
      </c>
    </row>
    <row r="116" spans="1:7" ht="13.15" hidden="1" customHeight="1" x14ac:dyDescent="0.2">
      <c r="A116" s="16" t="s">
        <v>220</v>
      </c>
      <c r="B116" s="17" t="s">
        <v>35</v>
      </c>
      <c r="D116" s="18">
        <f>63/302*(SUM(E110:E115))</f>
        <v>0</v>
      </c>
      <c r="E116" s="18">
        <f>D116</f>
        <v>0</v>
      </c>
      <c r="G116" s="10" t="s">
        <v>219</v>
      </c>
    </row>
    <row r="117" spans="1:7" hidden="1" x14ac:dyDescent="0.2">
      <c r="A117" s="16" t="s">
        <v>217</v>
      </c>
      <c r="B117" s="17"/>
      <c r="C117" s="90"/>
      <c r="D117" s="18"/>
      <c r="E117" s="18"/>
    </row>
    <row r="118" spans="1:7" hidden="1" x14ac:dyDescent="0.2">
      <c r="A118" s="16" t="s">
        <v>1</v>
      </c>
      <c r="B118" s="17" t="s">
        <v>2</v>
      </c>
      <c r="C118" s="83">
        <f>+C96</f>
        <v>20</v>
      </c>
      <c r="D118" s="83">
        <f>IF(C117=2,SUM(E106:E116),IF(C117=1,SUM(E106:E116)*D107/D106,0))</f>
        <v>0</v>
      </c>
      <c r="E118" s="18">
        <f>C118*D118/100</f>
        <v>0</v>
      </c>
    </row>
    <row r="119" spans="1:7" s="11" customFormat="1" x14ac:dyDescent="0.2">
      <c r="A119" s="116" t="s">
        <v>3</v>
      </c>
      <c r="B119" s="117"/>
      <c r="C119" s="117"/>
      <c r="D119" s="118"/>
      <c r="E119" s="119">
        <f>SUM(E106:E118)</f>
        <v>2600</v>
      </c>
      <c r="F119" s="44"/>
      <c r="G119" s="44"/>
    </row>
    <row r="120" spans="1:7" x14ac:dyDescent="0.2">
      <c r="A120" s="16" t="s">
        <v>4</v>
      </c>
      <c r="B120" s="17" t="s">
        <v>2</v>
      </c>
      <c r="C120" s="141">
        <f>'3.Encargos Sociais'!$C$38*100</f>
        <v>72.231660000000005</v>
      </c>
      <c r="D120" s="18">
        <f>E119</f>
        <v>2600</v>
      </c>
      <c r="E120" s="18">
        <f>D120*C120/100</f>
        <v>1878.0231600000002</v>
      </c>
    </row>
    <row r="121" spans="1:7" s="11" customFormat="1" x14ac:dyDescent="0.2">
      <c r="A121" s="116" t="s">
        <v>259</v>
      </c>
      <c r="B121" s="117"/>
      <c r="C121" s="117"/>
      <c r="D121" s="118"/>
      <c r="E121" s="119">
        <f>E119+E120</f>
        <v>4478.0231600000006</v>
      </c>
      <c r="F121" s="44"/>
      <c r="G121" s="44"/>
    </row>
    <row r="122" spans="1:7" ht="13.5" thickBot="1" x14ac:dyDescent="0.25">
      <c r="A122" s="16" t="s">
        <v>5</v>
      </c>
      <c r="B122" s="17" t="s">
        <v>6</v>
      </c>
      <c r="C122" s="86">
        <v>1</v>
      </c>
      <c r="D122" s="18">
        <f>E121</f>
        <v>4478.0231600000006</v>
      </c>
      <c r="E122" s="18">
        <f>C122*D122</f>
        <v>4478.0231600000006</v>
      </c>
    </row>
    <row r="123" spans="1:7" ht="13.5" thickBot="1" x14ac:dyDescent="0.25">
      <c r="A123" s="11" t="s">
        <v>454</v>
      </c>
      <c r="D123" s="123" t="s">
        <v>194</v>
      </c>
      <c r="E123" s="329">
        <f>2/44</f>
        <v>4.5454545454545456E-2</v>
      </c>
      <c r="F123" s="124">
        <f>E122*E123</f>
        <v>203.5465072727273</v>
      </c>
    </row>
    <row r="124" spans="1:7" ht="11.25" customHeight="1" x14ac:dyDescent="0.2">
      <c r="G124" s="9"/>
    </row>
    <row r="125" spans="1:7" ht="13.5" thickBot="1" x14ac:dyDescent="0.25">
      <c r="A125" s="9" t="s">
        <v>105</v>
      </c>
      <c r="B125" s="93"/>
      <c r="D125" s="9"/>
      <c r="E125" s="350"/>
      <c r="G125" s="9"/>
    </row>
    <row r="126" spans="1:7" ht="13.5" thickBot="1" x14ac:dyDescent="0.25">
      <c r="A126" s="60" t="s">
        <v>65</v>
      </c>
      <c r="B126" s="61" t="s">
        <v>66</v>
      </c>
      <c r="C126" s="61" t="s">
        <v>42</v>
      </c>
      <c r="D126" s="62" t="s">
        <v>239</v>
      </c>
      <c r="E126" s="62" t="s">
        <v>67</v>
      </c>
      <c r="F126" s="63" t="s">
        <v>68</v>
      </c>
      <c r="G126" s="9"/>
    </row>
    <row r="127" spans="1:7" x14ac:dyDescent="0.2">
      <c r="A127" s="16" t="s">
        <v>94</v>
      </c>
      <c r="B127" s="17" t="s">
        <v>35</v>
      </c>
      <c r="C127" s="94">
        <v>1</v>
      </c>
      <c r="D127" s="92">
        <v>3</v>
      </c>
      <c r="E127" s="18"/>
      <c r="G127" s="9"/>
    </row>
    <row r="128" spans="1:7" x14ac:dyDescent="0.2">
      <c r="A128" s="16" t="s">
        <v>95</v>
      </c>
      <c r="B128" s="17" t="s">
        <v>96</v>
      </c>
      <c r="C128" s="91">
        <v>4</v>
      </c>
      <c r="D128" s="18"/>
      <c r="E128" s="18"/>
      <c r="G128" s="9"/>
    </row>
    <row r="129" spans="1:7" x14ac:dyDescent="0.2">
      <c r="A129" s="16" t="s">
        <v>76</v>
      </c>
      <c r="B129" s="17" t="s">
        <v>9</v>
      </c>
      <c r="C129" s="37">
        <f>$C$128*2*(C66+C85)</f>
        <v>24</v>
      </c>
      <c r="D129" s="15">
        <f>IFERROR((($C$128*2*$D$127)-(E58*0.06*C128/26))/($C$128*2),"-")</f>
        <v>1.5251538461538463</v>
      </c>
      <c r="E129" s="18">
        <f>IFERROR(C129*D129,"-")</f>
        <v>36.603692307692313</v>
      </c>
      <c r="G129" s="9"/>
    </row>
    <row r="130" spans="1:7" ht="13.5" thickBot="1" x14ac:dyDescent="0.25">
      <c r="A130" s="13" t="s">
        <v>46</v>
      </c>
      <c r="B130" s="14" t="s">
        <v>9</v>
      </c>
      <c r="C130" s="37">
        <f>$C$128*2*(C100)</f>
        <v>8</v>
      </c>
      <c r="D130" s="15">
        <f>IFERROR((($C$128*2*$D$127)-(E90*0.06*C128/26))/($C$128*2),"-")</f>
        <v>0.99020769230769234</v>
      </c>
      <c r="E130" s="15">
        <f>IFERROR(C130*D130,"-")</f>
        <v>7.9216615384615388</v>
      </c>
      <c r="G130" s="9"/>
    </row>
    <row r="131" spans="1:7" ht="13.5" thickBot="1" x14ac:dyDescent="0.25">
      <c r="F131" s="22">
        <f>SUM(E129:E130)</f>
        <v>44.525353846153848</v>
      </c>
      <c r="G131" s="9"/>
    </row>
    <row r="132" spans="1:7" ht="11.25" customHeight="1" x14ac:dyDescent="0.2">
      <c r="G132" s="9"/>
    </row>
    <row r="133" spans="1:7" ht="13.5" thickBot="1" x14ac:dyDescent="0.25">
      <c r="A133" s="9" t="s">
        <v>121</v>
      </c>
      <c r="F133" s="23"/>
      <c r="G133" s="9"/>
    </row>
    <row r="134" spans="1:7" ht="13.5" thickBot="1" x14ac:dyDescent="0.25">
      <c r="A134" s="60" t="s">
        <v>65</v>
      </c>
      <c r="B134" s="61" t="s">
        <v>66</v>
      </c>
      <c r="C134" s="61" t="s">
        <v>42</v>
      </c>
      <c r="D134" s="62" t="s">
        <v>239</v>
      </c>
      <c r="E134" s="62" t="s">
        <v>67</v>
      </c>
      <c r="F134" s="63" t="s">
        <v>68</v>
      </c>
      <c r="G134" s="9"/>
    </row>
    <row r="135" spans="1:7" x14ac:dyDescent="0.2">
      <c r="A135" s="16" t="str">
        <f>+A129</f>
        <v>Coletor</v>
      </c>
      <c r="B135" s="17" t="s">
        <v>10</v>
      </c>
      <c r="C135" s="102">
        <f>C128*(E42+E43)</f>
        <v>12</v>
      </c>
      <c r="D135" s="95">
        <v>13.55</v>
      </c>
      <c r="E135" s="50">
        <f>C135*D135</f>
        <v>162.60000000000002</v>
      </c>
      <c r="F135" s="23"/>
      <c r="G135" s="9"/>
    </row>
    <row r="136" spans="1:7" ht="13.5" thickBot="1" x14ac:dyDescent="0.25">
      <c r="A136" s="16" t="str">
        <f>+A130</f>
        <v>Motorista</v>
      </c>
      <c r="B136" s="17" t="s">
        <v>10</v>
      </c>
      <c r="C136" s="102">
        <f>C128*(E44)</f>
        <v>4</v>
      </c>
      <c r="D136" s="95">
        <v>8.91</v>
      </c>
      <c r="E136" s="50">
        <f>C136*D136</f>
        <v>35.64</v>
      </c>
      <c r="F136" s="23"/>
      <c r="G136" s="9"/>
    </row>
    <row r="137" spans="1:7" ht="13.5" thickBot="1" x14ac:dyDescent="0.25">
      <c r="F137" s="22">
        <f>SUM(E135:E136)</f>
        <v>198.24</v>
      </c>
      <c r="G137" s="9"/>
    </row>
    <row r="138" spans="1:7" x14ac:dyDescent="0.2">
      <c r="G138" s="9"/>
    </row>
    <row r="139" spans="1:7" ht="13.5" thickBot="1" x14ac:dyDescent="0.25">
      <c r="A139" s="9" t="s">
        <v>122</v>
      </c>
      <c r="F139" s="23"/>
      <c r="G139" s="9"/>
    </row>
    <row r="140" spans="1:7" ht="13.5" thickBot="1" x14ac:dyDescent="0.25">
      <c r="A140" s="60" t="s">
        <v>65</v>
      </c>
      <c r="B140" s="61" t="s">
        <v>66</v>
      </c>
      <c r="C140" s="61" t="s">
        <v>42</v>
      </c>
      <c r="D140" s="62" t="s">
        <v>239</v>
      </c>
      <c r="E140" s="62" t="s">
        <v>67</v>
      </c>
      <c r="F140" s="63" t="s">
        <v>68</v>
      </c>
      <c r="G140" s="9"/>
    </row>
    <row r="141" spans="1:7" hidden="1" x14ac:dyDescent="0.2">
      <c r="A141" s="16" t="str">
        <f>+A135</f>
        <v>Coletor</v>
      </c>
      <c r="B141" s="17" t="s">
        <v>10</v>
      </c>
      <c r="C141" s="102">
        <f>E42+E43</f>
        <v>3</v>
      </c>
      <c r="D141" s="95"/>
      <c r="E141" s="50">
        <f>C141*D141</f>
        <v>0</v>
      </c>
      <c r="F141" s="23"/>
      <c r="G141" s="9"/>
    </row>
    <row r="142" spans="1:7" ht="13.5" thickBot="1" x14ac:dyDescent="0.25">
      <c r="A142" s="16" t="str">
        <f>+A136</f>
        <v>Motorista</v>
      </c>
      <c r="B142" s="17" t="s">
        <v>10</v>
      </c>
      <c r="C142" s="102">
        <f>E44+E45</f>
        <v>2</v>
      </c>
      <c r="D142" s="95">
        <v>59.58</v>
      </c>
      <c r="E142" s="50">
        <f>C142*D142</f>
        <v>119.16</v>
      </c>
      <c r="F142" s="23"/>
      <c r="G142" s="9"/>
    </row>
    <row r="143" spans="1:7" ht="13.5" thickBot="1" x14ac:dyDescent="0.25">
      <c r="D143" s="123" t="s">
        <v>194</v>
      </c>
      <c r="E143" s="329">
        <f>E101</f>
        <v>0.25</v>
      </c>
      <c r="F143" s="22">
        <f>SUM(E141:E142)*E143</f>
        <v>29.79</v>
      </c>
      <c r="G143" s="9"/>
    </row>
    <row r="144" spans="1:7" ht="13.5" thickBot="1" x14ac:dyDescent="0.25">
      <c r="G144" s="9"/>
    </row>
    <row r="145" spans="1:7" ht="13.5" thickBot="1" x14ac:dyDescent="0.25">
      <c r="A145" s="24" t="s">
        <v>97</v>
      </c>
      <c r="B145" s="25"/>
      <c r="C145" s="25"/>
      <c r="D145" s="26"/>
      <c r="E145" s="27"/>
      <c r="F145" s="22">
        <f>F143+F137+F131+F123+F101+F86+F67</f>
        <v>2966.8881403941314</v>
      </c>
      <c r="G145" s="9"/>
    </row>
    <row r="147" spans="1:7" x14ac:dyDescent="0.2">
      <c r="A147" s="11" t="s">
        <v>47</v>
      </c>
      <c r="G147" s="9"/>
    </row>
    <row r="148" spans="1:7" ht="11.25" customHeight="1" x14ac:dyDescent="0.2">
      <c r="G148" s="9"/>
    </row>
    <row r="149" spans="1:7" ht="13.9" customHeight="1" x14ac:dyDescent="0.2">
      <c r="A149" s="9" t="s">
        <v>196</v>
      </c>
      <c r="G149" s="9"/>
    </row>
    <row r="150" spans="1:7" ht="11.25" customHeight="1" thickBot="1" x14ac:dyDescent="0.25">
      <c r="G150" s="9"/>
    </row>
    <row r="151" spans="1:7" ht="27.75" customHeight="1" thickBot="1" x14ac:dyDescent="0.25">
      <c r="A151" s="60" t="s">
        <v>65</v>
      </c>
      <c r="B151" s="61" t="s">
        <v>66</v>
      </c>
      <c r="C151" s="270" t="s">
        <v>261</v>
      </c>
      <c r="D151" s="62" t="s">
        <v>239</v>
      </c>
      <c r="E151" s="62" t="s">
        <v>67</v>
      </c>
      <c r="F151" s="63" t="s">
        <v>68</v>
      </c>
      <c r="G151" s="9"/>
    </row>
    <row r="152" spans="1:7" x14ac:dyDescent="0.2">
      <c r="A152" s="13" t="s">
        <v>69</v>
      </c>
      <c r="B152" s="14" t="s">
        <v>10</v>
      </c>
      <c r="C152" s="344">
        <v>12</v>
      </c>
      <c r="D152" s="327">
        <v>118</v>
      </c>
      <c r="E152" s="15">
        <f>IFERROR(D152/C152,0)</f>
        <v>9.8333333333333339</v>
      </c>
      <c r="G152" s="9"/>
    </row>
    <row r="153" spans="1:7" ht="13.15" customHeight="1" x14ac:dyDescent="0.2">
      <c r="A153" s="16" t="s">
        <v>30</v>
      </c>
      <c r="B153" s="17" t="s">
        <v>10</v>
      </c>
      <c r="C153" s="344">
        <v>4</v>
      </c>
      <c r="D153" s="343">
        <v>46.7</v>
      </c>
      <c r="E153" s="15">
        <f t="shared" ref="E153:E161" si="1">IFERROR(D153/C153,0)</f>
        <v>11.675000000000001</v>
      </c>
      <c r="G153" s="9"/>
    </row>
    <row r="154" spans="1:7" x14ac:dyDescent="0.2">
      <c r="A154" s="16" t="s">
        <v>31</v>
      </c>
      <c r="B154" s="17" t="s">
        <v>10</v>
      </c>
      <c r="C154" s="344">
        <v>2</v>
      </c>
      <c r="D154" s="343">
        <v>35</v>
      </c>
      <c r="E154" s="15">
        <f t="shared" si="1"/>
        <v>17.5</v>
      </c>
      <c r="G154" s="9"/>
    </row>
    <row r="155" spans="1:7" ht="13.15" customHeight="1" x14ac:dyDescent="0.2">
      <c r="A155" s="16" t="s">
        <v>32</v>
      </c>
      <c r="B155" s="17" t="s">
        <v>10</v>
      </c>
      <c r="C155" s="344">
        <v>4</v>
      </c>
      <c r="D155" s="343">
        <v>13</v>
      </c>
      <c r="E155" s="15">
        <f t="shared" si="1"/>
        <v>3.25</v>
      </c>
      <c r="G155" s="9"/>
    </row>
    <row r="156" spans="1:7" ht="13.9" customHeight="1" x14ac:dyDescent="0.2">
      <c r="A156" s="16" t="s">
        <v>71</v>
      </c>
      <c r="B156" s="17" t="s">
        <v>50</v>
      </c>
      <c r="C156" s="344">
        <v>4</v>
      </c>
      <c r="D156" s="343">
        <v>36.9</v>
      </c>
      <c r="E156" s="15">
        <f t="shared" si="1"/>
        <v>9.2249999999999996</v>
      </c>
      <c r="G156" s="9"/>
    </row>
    <row r="157" spans="1:7" ht="13.15" customHeight="1" x14ac:dyDescent="0.2">
      <c r="A157" s="16" t="s">
        <v>98</v>
      </c>
      <c r="B157" s="17" t="s">
        <v>50</v>
      </c>
      <c r="C157" s="344">
        <v>2</v>
      </c>
      <c r="D157" s="343">
        <v>18</v>
      </c>
      <c r="E157" s="15">
        <f t="shared" si="1"/>
        <v>9</v>
      </c>
    </row>
    <row r="158" spans="1:7" x14ac:dyDescent="0.2">
      <c r="A158" s="16" t="s">
        <v>70</v>
      </c>
      <c r="B158" s="17" t="s">
        <v>10</v>
      </c>
      <c r="C158" s="344">
        <v>3</v>
      </c>
      <c r="D158" s="343">
        <v>23.6</v>
      </c>
      <c r="E158" s="15">
        <f t="shared" si="1"/>
        <v>7.8666666666666671</v>
      </c>
    </row>
    <row r="159" spans="1:7" s="1" customFormat="1" x14ac:dyDescent="0.2">
      <c r="A159" s="2" t="s">
        <v>11</v>
      </c>
      <c r="B159" s="3" t="s">
        <v>10</v>
      </c>
      <c r="C159" s="344">
        <v>4</v>
      </c>
      <c r="D159" s="343">
        <v>21</v>
      </c>
      <c r="E159" s="15">
        <f t="shared" si="1"/>
        <v>5.25</v>
      </c>
      <c r="F159" s="38"/>
      <c r="G159" s="38"/>
    </row>
    <row r="160" spans="1:7" x14ac:dyDescent="0.2">
      <c r="A160" s="16" t="s">
        <v>33</v>
      </c>
      <c r="B160" s="17" t="s">
        <v>50</v>
      </c>
      <c r="C160" s="344">
        <v>1</v>
      </c>
      <c r="D160" s="343">
        <v>31.49</v>
      </c>
      <c r="E160" s="15">
        <f t="shared" si="1"/>
        <v>31.49</v>
      </c>
    </row>
    <row r="161" spans="1:7" ht="13.15" customHeight="1" x14ac:dyDescent="0.2">
      <c r="A161" s="16" t="s">
        <v>64</v>
      </c>
      <c r="B161" s="17" t="s">
        <v>51</v>
      </c>
      <c r="C161" s="344">
        <v>2</v>
      </c>
      <c r="D161" s="343">
        <v>24</v>
      </c>
      <c r="E161" s="15">
        <f t="shared" si="1"/>
        <v>12</v>
      </c>
    </row>
    <row r="162" spans="1:7" x14ac:dyDescent="0.2">
      <c r="A162" s="16" t="s">
        <v>197</v>
      </c>
      <c r="B162" s="17" t="s">
        <v>123</v>
      </c>
      <c r="C162" s="345">
        <v>1</v>
      </c>
      <c r="D162" s="343">
        <v>60</v>
      </c>
      <c r="E162" s="18">
        <f t="shared" ref="E162:E163" si="2">C162*D162</f>
        <v>60</v>
      </c>
    </row>
    <row r="163" spans="1:7" ht="13.5" thickBot="1" x14ac:dyDescent="0.25">
      <c r="A163" s="16" t="s">
        <v>5</v>
      </c>
      <c r="B163" s="17" t="s">
        <v>6</v>
      </c>
      <c r="C163" s="69">
        <f>E42+E43</f>
        <v>3</v>
      </c>
      <c r="D163" s="18">
        <f>+SUM(E152:E162)</f>
        <v>177.08999999999997</v>
      </c>
      <c r="E163" s="18">
        <f t="shared" si="2"/>
        <v>531.27</v>
      </c>
    </row>
    <row r="164" spans="1:7" ht="13.5" thickBot="1" x14ac:dyDescent="0.25">
      <c r="D164" s="123" t="s">
        <v>194</v>
      </c>
      <c r="E164" s="329">
        <f>$B$52</f>
        <v>0.17897727272727273</v>
      </c>
      <c r="F164" s="124">
        <f>E163*E164</f>
        <v>95.085255681818182</v>
      </c>
    </row>
    <row r="165" spans="1:7" ht="11.25" customHeight="1" x14ac:dyDescent="0.2"/>
    <row r="166" spans="1:7" ht="13.9" customHeight="1" x14ac:dyDescent="0.2">
      <c r="A166" s="9" t="s">
        <v>198</v>
      </c>
    </row>
    <row r="167" spans="1:7" ht="11.25" customHeight="1" thickBot="1" x14ac:dyDescent="0.25"/>
    <row r="168" spans="1:7" ht="24.75" thickBot="1" x14ac:dyDescent="0.25">
      <c r="A168" s="60" t="s">
        <v>65</v>
      </c>
      <c r="B168" s="61" t="s">
        <v>66</v>
      </c>
      <c r="C168" s="270" t="s">
        <v>261</v>
      </c>
      <c r="D168" s="62" t="s">
        <v>239</v>
      </c>
      <c r="E168" s="62" t="s">
        <v>67</v>
      </c>
      <c r="F168" s="63" t="s">
        <v>68</v>
      </c>
    </row>
    <row r="169" spans="1:7" x14ac:dyDescent="0.2">
      <c r="A169" s="13" t="s">
        <v>69</v>
      </c>
      <c r="B169" s="14" t="s">
        <v>10</v>
      </c>
      <c r="C169" s="348">
        <f>C152</f>
        <v>12</v>
      </c>
      <c r="D169" s="15">
        <f>+D152</f>
        <v>118</v>
      </c>
      <c r="E169" s="15">
        <f>IFERROR(D169/C169,0)</f>
        <v>9.8333333333333339</v>
      </c>
    </row>
    <row r="170" spans="1:7" x14ac:dyDescent="0.2">
      <c r="A170" s="16" t="s">
        <v>30</v>
      </c>
      <c r="B170" s="17" t="s">
        <v>10</v>
      </c>
      <c r="C170" s="348">
        <f>C153</f>
        <v>4</v>
      </c>
      <c r="D170" s="18">
        <f>+D153</f>
        <v>46.7</v>
      </c>
      <c r="E170" s="15">
        <f t="shared" ref="E170:E174" si="3">IFERROR(D170/C170,0)</f>
        <v>11.675000000000001</v>
      </c>
    </row>
    <row r="171" spans="1:7" x14ac:dyDescent="0.2">
      <c r="A171" s="16" t="s">
        <v>31</v>
      </c>
      <c r="B171" s="17" t="s">
        <v>10</v>
      </c>
      <c r="C171" s="348">
        <f>C154</f>
        <v>2</v>
      </c>
      <c r="D171" s="18">
        <f>+D154</f>
        <v>35</v>
      </c>
      <c r="E171" s="15">
        <f t="shared" si="3"/>
        <v>17.5</v>
      </c>
    </row>
    <row r="172" spans="1:7" x14ac:dyDescent="0.2">
      <c r="A172" s="16" t="s">
        <v>71</v>
      </c>
      <c r="B172" s="17" t="s">
        <v>50</v>
      </c>
      <c r="C172" s="348">
        <f>C156</f>
        <v>4</v>
      </c>
      <c r="D172" s="18">
        <f>+D156</f>
        <v>36.9</v>
      </c>
      <c r="E172" s="15">
        <f t="shared" si="3"/>
        <v>9.2249999999999996</v>
      </c>
    </row>
    <row r="173" spans="1:7" x14ac:dyDescent="0.2">
      <c r="A173" s="16" t="s">
        <v>70</v>
      </c>
      <c r="B173" s="17" t="s">
        <v>10</v>
      </c>
      <c r="C173" s="348">
        <f>C158</f>
        <v>3</v>
      </c>
      <c r="D173" s="18">
        <f>+D158</f>
        <v>23.6</v>
      </c>
      <c r="E173" s="15">
        <f t="shared" si="3"/>
        <v>7.8666666666666671</v>
      </c>
      <c r="G173" s="9"/>
    </row>
    <row r="174" spans="1:7" x14ac:dyDescent="0.2">
      <c r="A174" s="16" t="s">
        <v>64</v>
      </c>
      <c r="B174" s="17" t="s">
        <v>51</v>
      </c>
      <c r="C174" s="348">
        <f>C161</f>
        <v>2</v>
      </c>
      <c r="D174" s="18">
        <f>+D161</f>
        <v>24</v>
      </c>
      <c r="E174" s="15">
        <f t="shared" si="3"/>
        <v>12</v>
      </c>
      <c r="G174" s="9"/>
    </row>
    <row r="175" spans="1:7" x14ac:dyDescent="0.2">
      <c r="A175" s="16" t="s">
        <v>197</v>
      </c>
      <c r="B175" s="17" t="s">
        <v>123</v>
      </c>
      <c r="C175" s="121">
        <v>1</v>
      </c>
      <c r="D175" s="87">
        <f>D162</f>
        <v>60</v>
      </c>
      <c r="E175" s="18">
        <f t="shared" ref="E175:E176" si="4">C175*D175</f>
        <v>60</v>
      </c>
      <c r="G175" s="9"/>
    </row>
    <row r="176" spans="1:7" ht="13.5" thickBot="1" x14ac:dyDescent="0.25">
      <c r="A176" s="16" t="s">
        <v>5</v>
      </c>
      <c r="B176" s="17" t="s">
        <v>6</v>
      </c>
      <c r="C176" s="69">
        <f>E44+E45</f>
        <v>2</v>
      </c>
      <c r="D176" s="18">
        <f>+SUM(E169:E175)</f>
        <v>128.1</v>
      </c>
      <c r="E176" s="18">
        <f t="shared" si="4"/>
        <v>256.2</v>
      </c>
      <c r="G176" s="9"/>
    </row>
    <row r="177" spans="1:10" ht="13.5" thickBot="1" x14ac:dyDescent="0.25">
      <c r="D177" s="123" t="s">
        <v>194</v>
      </c>
      <c r="E177" s="329">
        <f>E101</f>
        <v>0.25</v>
      </c>
      <c r="F177" s="124">
        <f>E176*E177</f>
        <v>64.05</v>
      </c>
      <c r="G177" s="9"/>
    </row>
    <row r="178" spans="1:10" ht="11.25" customHeight="1" thickBot="1" x14ac:dyDescent="0.25">
      <c r="G178" s="9"/>
    </row>
    <row r="179" spans="1:10" ht="13.5" thickBot="1" x14ac:dyDescent="0.25">
      <c r="A179" s="24" t="s">
        <v>199</v>
      </c>
      <c r="B179" s="28"/>
      <c r="C179" s="28"/>
      <c r="D179" s="29"/>
      <c r="E179" s="30"/>
      <c r="F179" s="21">
        <f>+F164+F177</f>
        <v>159.13525568181819</v>
      </c>
      <c r="G179" s="9"/>
    </row>
    <row r="180" spans="1:10" ht="11.25" customHeight="1" x14ac:dyDescent="0.2">
      <c r="G180" s="9"/>
    </row>
    <row r="181" spans="1:10" x14ac:dyDescent="0.2">
      <c r="A181" s="11" t="s">
        <v>56</v>
      </c>
      <c r="G181" s="9"/>
    </row>
    <row r="182" spans="1:10" ht="11.25" customHeight="1" x14ac:dyDescent="0.2">
      <c r="B182" s="107"/>
      <c r="G182" s="9"/>
    </row>
    <row r="183" spans="1:10" x14ac:dyDescent="0.2">
      <c r="A183" s="7" t="s">
        <v>403</v>
      </c>
      <c r="G183" s="9"/>
    </row>
    <row r="184" spans="1:10" ht="11.25" customHeight="1" x14ac:dyDescent="0.2">
      <c r="G184" s="9"/>
    </row>
    <row r="185" spans="1:10" ht="13.5" thickBot="1" x14ac:dyDescent="0.25">
      <c r="A185" s="107" t="s">
        <v>48</v>
      </c>
      <c r="G185" s="9"/>
    </row>
    <row r="186" spans="1:10" ht="13.5" thickBot="1" x14ac:dyDescent="0.25">
      <c r="A186" s="60" t="s">
        <v>65</v>
      </c>
      <c r="B186" s="61" t="s">
        <v>66</v>
      </c>
      <c r="C186" s="61" t="s">
        <v>42</v>
      </c>
      <c r="D186" s="62" t="s">
        <v>239</v>
      </c>
      <c r="E186" s="62" t="s">
        <v>67</v>
      </c>
      <c r="F186" s="63" t="s">
        <v>68</v>
      </c>
      <c r="G186" s="9"/>
    </row>
    <row r="187" spans="1:10" x14ac:dyDescent="0.2">
      <c r="A187" s="13" t="s">
        <v>109</v>
      </c>
      <c r="B187" s="14" t="s">
        <v>10</v>
      </c>
      <c r="C187" s="276">
        <v>1</v>
      </c>
      <c r="D187" s="87">
        <v>213974</v>
      </c>
      <c r="E187" s="15">
        <f>C187*D187</f>
        <v>213974</v>
      </c>
      <c r="G187" s="9"/>
    </row>
    <row r="188" spans="1:10" x14ac:dyDescent="0.2">
      <c r="A188" s="16" t="s">
        <v>106</v>
      </c>
      <c r="B188" s="17" t="s">
        <v>107</v>
      </c>
      <c r="C188" s="86">
        <v>8</v>
      </c>
      <c r="D188" s="83"/>
      <c r="E188" s="18"/>
      <c r="G188" s="9"/>
    </row>
    <row r="189" spans="1:10" x14ac:dyDescent="0.2">
      <c r="A189" s="16" t="s">
        <v>212</v>
      </c>
      <c r="B189" s="17" t="s">
        <v>107</v>
      </c>
      <c r="C189" s="86">
        <v>4</v>
      </c>
      <c r="D189" s="18"/>
      <c r="E189" s="18"/>
      <c r="F189" s="20"/>
      <c r="I189" s="85"/>
      <c r="J189" s="85"/>
    </row>
    <row r="190" spans="1:10" x14ac:dyDescent="0.2">
      <c r="A190" s="16" t="s">
        <v>108</v>
      </c>
      <c r="B190" s="17" t="s">
        <v>2</v>
      </c>
      <c r="C190" s="141">
        <f>IFERROR(VLOOKUP(C188,'6. Depreciação'!A3:B17,2,FALSE),0)</f>
        <v>62.12</v>
      </c>
      <c r="D190" s="18">
        <f>E187</f>
        <v>213974</v>
      </c>
      <c r="E190" s="18">
        <f>C190*D190/100</f>
        <v>132920.6488</v>
      </c>
    </row>
    <row r="191" spans="1:10" ht="13.5" thickBot="1" x14ac:dyDescent="0.25">
      <c r="A191" s="279" t="s">
        <v>52</v>
      </c>
      <c r="B191" s="280" t="s">
        <v>8</v>
      </c>
      <c r="C191" s="280">
        <f>C188*12</f>
        <v>96</v>
      </c>
      <c r="D191" s="281">
        <f>IF(C189&lt;=C188,E190,0)</f>
        <v>132920.6488</v>
      </c>
      <c r="E191" s="281">
        <f>IFERROR(D191/C191,0)</f>
        <v>1384.5900916666667</v>
      </c>
    </row>
    <row r="192" spans="1:10" ht="13.5" thickTop="1" x14ac:dyDescent="0.2">
      <c r="A192" s="308" t="s">
        <v>404</v>
      </c>
      <c r="B192" s="14" t="s">
        <v>10</v>
      </c>
      <c r="C192" s="14">
        <f>C187</f>
        <v>1</v>
      </c>
      <c r="D192" s="87">
        <v>70000</v>
      </c>
      <c r="E192" s="15">
        <f>C192*D192</f>
        <v>70000</v>
      </c>
      <c r="G192" s="9"/>
    </row>
    <row r="193" spans="1:10" x14ac:dyDescent="0.2">
      <c r="A193" s="346" t="s">
        <v>106</v>
      </c>
      <c r="B193" s="17" t="s">
        <v>107</v>
      </c>
      <c r="C193" s="86">
        <v>8</v>
      </c>
      <c r="D193" s="18"/>
      <c r="E193" s="18"/>
    </row>
    <row r="194" spans="1:10" x14ac:dyDescent="0.2">
      <c r="A194" s="346" t="s">
        <v>405</v>
      </c>
      <c r="B194" s="17" t="s">
        <v>107</v>
      </c>
      <c r="C194" s="86">
        <v>4</v>
      </c>
      <c r="D194" s="18"/>
      <c r="E194" s="18"/>
      <c r="F194" s="20"/>
      <c r="I194" s="85"/>
      <c r="J194" s="85"/>
    </row>
    <row r="195" spans="1:10" x14ac:dyDescent="0.2">
      <c r="A195" s="346" t="s">
        <v>108</v>
      </c>
      <c r="B195" s="17" t="s">
        <v>2</v>
      </c>
      <c r="C195" s="142">
        <f>IFERROR(VLOOKUP(C193,'6. Depreciação'!A3:B17,2,FALSE),0)</f>
        <v>62.12</v>
      </c>
      <c r="D195" s="18">
        <f>E192</f>
        <v>70000</v>
      </c>
      <c r="E195" s="18">
        <f>C195*D195/100</f>
        <v>43484</v>
      </c>
    </row>
    <row r="196" spans="1:10" x14ac:dyDescent="0.2">
      <c r="A196" s="103" t="s">
        <v>406</v>
      </c>
      <c r="B196" s="104" t="s">
        <v>8</v>
      </c>
      <c r="C196" s="104">
        <f>C193*12</f>
        <v>96</v>
      </c>
      <c r="D196" s="105">
        <f>IF(C194&lt;=C193,E195,0)</f>
        <v>43484</v>
      </c>
      <c r="E196" s="105">
        <f>IFERROR(D196/C196,0)</f>
        <v>452.95833333333331</v>
      </c>
    </row>
    <row r="197" spans="1:10" x14ac:dyDescent="0.2">
      <c r="A197" s="116" t="s">
        <v>264</v>
      </c>
      <c r="B197" s="117"/>
      <c r="C197" s="117"/>
      <c r="D197" s="118"/>
      <c r="E197" s="119">
        <f>E191+E196</f>
        <v>1837.548425</v>
      </c>
    </row>
    <row r="198" spans="1:10" ht="13.5" thickBot="1" x14ac:dyDescent="0.25">
      <c r="A198" s="103" t="s">
        <v>265</v>
      </c>
      <c r="B198" s="104" t="s">
        <v>10</v>
      </c>
      <c r="C198" s="86">
        <v>1.1000000000000001</v>
      </c>
      <c r="D198" s="105">
        <f>E197</f>
        <v>1837.548425</v>
      </c>
      <c r="E198" s="119">
        <f>C198*D198</f>
        <v>2021.3032675000002</v>
      </c>
    </row>
    <row r="199" spans="1:10" ht="13.5" thickBot="1" x14ac:dyDescent="0.25">
      <c r="A199" s="275"/>
      <c r="B199" s="275"/>
      <c r="C199" s="275"/>
      <c r="D199" s="123" t="s">
        <v>194</v>
      </c>
      <c r="E199" s="329">
        <f>E101</f>
        <v>0.25</v>
      </c>
      <c r="F199" s="21">
        <f>E198*E199</f>
        <v>505.32581687500004</v>
      </c>
    </row>
    <row r="200" spans="1:10" ht="11.25" customHeight="1" x14ac:dyDescent="0.2"/>
    <row r="201" spans="1:10" ht="13.5" thickBot="1" x14ac:dyDescent="0.25">
      <c r="A201" s="107" t="s">
        <v>113</v>
      </c>
    </row>
    <row r="202" spans="1:10" ht="13.5" thickBot="1" x14ac:dyDescent="0.25">
      <c r="A202" s="109" t="s">
        <v>65</v>
      </c>
      <c r="B202" s="110" t="s">
        <v>66</v>
      </c>
      <c r="C202" s="110" t="s">
        <v>42</v>
      </c>
      <c r="D202" s="62" t="s">
        <v>239</v>
      </c>
      <c r="E202" s="111" t="s">
        <v>67</v>
      </c>
      <c r="F202" s="63" t="s">
        <v>68</v>
      </c>
      <c r="I202" s="85"/>
      <c r="J202" s="85"/>
    </row>
    <row r="203" spans="1:10" x14ac:dyDescent="0.2">
      <c r="A203" s="16" t="s">
        <v>112</v>
      </c>
      <c r="B203" s="17" t="s">
        <v>10</v>
      </c>
      <c r="C203" s="276">
        <v>1</v>
      </c>
      <c r="D203" s="18">
        <v>213974</v>
      </c>
      <c r="E203" s="18">
        <f>C203*D203</f>
        <v>213974</v>
      </c>
      <c r="F203" s="20"/>
      <c r="I203" s="85"/>
      <c r="J203" s="85"/>
    </row>
    <row r="204" spans="1:10" x14ac:dyDescent="0.2">
      <c r="A204" s="16" t="s">
        <v>215</v>
      </c>
      <c r="B204" s="17" t="s">
        <v>2</v>
      </c>
      <c r="C204" s="86">
        <v>5.5</v>
      </c>
      <c r="D204" s="18"/>
      <c r="E204" s="18"/>
      <c r="F204" s="20"/>
      <c r="I204" s="85"/>
      <c r="J204" s="85"/>
    </row>
    <row r="205" spans="1:10" x14ac:dyDescent="0.2">
      <c r="A205" s="16" t="s">
        <v>213</v>
      </c>
      <c r="B205" s="17" t="s">
        <v>35</v>
      </c>
      <c r="C205" s="149">
        <f>IFERROR(IF(C189&lt;=C188,E187-(C190/(100*C188)*C189)*E187,E187-E190),0)</f>
        <v>147513.67560000002</v>
      </c>
      <c r="D205" s="18"/>
      <c r="E205" s="18"/>
      <c r="F205" s="20"/>
      <c r="I205" s="85"/>
      <c r="J205" s="85"/>
    </row>
    <row r="206" spans="1:10" x14ac:dyDescent="0.2">
      <c r="A206" s="16" t="s">
        <v>115</v>
      </c>
      <c r="B206" s="17" t="s">
        <v>35</v>
      </c>
      <c r="C206" s="83">
        <f>IFERROR(IF(C189&gt;=C188,C205,((((C205)-(E187-E190))*(((C188-C189)+1)/(2*(C188-C189))))+(E187-E190))),0)</f>
        <v>122591.05395000002</v>
      </c>
      <c r="D206" s="18"/>
      <c r="E206" s="18"/>
      <c r="F206" s="20"/>
      <c r="I206" s="85"/>
      <c r="J206" s="85"/>
    </row>
    <row r="207" spans="1:10" ht="13.5" thickBot="1" x14ac:dyDescent="0.25">
      <c r="A207" s="279" t="s">
        <v>116</v>
      </c>
      <c r="B207" s="280" t="s">
        <v>35</v>
      </c>
      <c r="C207" s="280"/>
      <c r="D207" s="282">
        <f>C204*C206/12/100</f>
        <v>561.87566393750012</v>
      </c>
      <c r="E207" s="281">
        <f>D207</f>
        <v>561.87566393750012</v>
      </c>
      <c r="F207" s="20"/>
      <c r="I207" s="85"/>
      <c r="J207" s="85"/>
    </row>
    <row r="208" spans="1:10" ht="13.5" thickTop="1" x14ac:dyDescent="0.2">
      <c r="A208" s="308" t="s">
        <v>468</v>
      </c>
      <c r="B208" s="14" t="s">
        <v>10</v>
      </c>
      <c r="C208" s="14">
        <f>C192</f>
        <v>1</v>
      </c>
      <c r="D208" s="15">
        <v>70000</v>
      </c>
      <c r="E208" s="15">
        <f>C208*D208</f>
        <v>70000</v>
      </c>
      <c r="F208" s="20"/>
      <c r="I208" s="85"/>
      <c r="J208" s="85"/>
    </row>
    <row r="209" spans="1:10" x14ac:dyDescent="0.2">
      <c r="A209" s="346" t="s">
        <v>215</v>
      </c>
      <c r="B209" s="17" t="s">
        <v>2</v>
      </c>
      <c r="C209" s="277">
        <f>C204</f>
        <v>5.5</v>
      </c>
      <c r="D209" s="18"/>
      <c r="E209" s="18"/>
      <c r="F209" s="20"/>
      <c r="I209" s="85"/>
      <c r="J209" s="85"/>
    </row>
    <row r="210" spans="1:10" x14ac:dyDescent="0.2">
      <c r="A210" s="16" t="s">
        <v>214</v>
      </c>
      <c r="B210" s="17" t="s">
        <v>35</v>
      </c>
      <c r="C210" s="149">
        <f>IFERROR(IF(C194&lt;=C193,E192-(C195/(100*C193)*C194)*E192,E192-E195),0)</f>
        <v>48258</v>
      </c>
      <c r="D210" s="18"/>
      <c r="E210" s="18"/>
      <c r="F210" s="20"/>
      <c r="I210" s="85"/>
      <c r="J210" s="85"/>
    </row>
    <row r="211" spans="1:10" x14ac:dyDescent="0.2">
      <c r="A211" s="346" t="s">
        <v>469</v>
      </c>
      <c r="B211" s="17" t="s">
        <v>35</v>
      </c>
      <c r="C211" s="83">
        <f>IFERROR(IF(C194&gt;=C193,C210,((((C210)-(E192-E195))*(((C193-C194)+1)/(2*(C193-C194))))+(E192-E195))),0)</f>
        <v>40104.75</v>
      </c>
      <c r="D211" s="18"/>
      <c r="E211" s="18"/>
      <c r="F211" s="20"/>
      <c r="I211" s="85"/>
      <c r="J211" s="85"/>
    </row>
    <row r="212" spans="1:10" x14ac:dyDescent="0.2">
      <c r="A212" s="103" t="s">
        <v>374</v>
      </c>
      <c r="B212" s="104" t="s">
        <v>35</v>
      </c>
      <c r="C212" s="104"/>
      <c r="D212" s="113">
        <f>C209*C211/12/100</f>
        <v>183.81343749999999</v>
      </c>
      <c r="E212" s="105">
        <f>D212</f>
        <v>183.81343749999999</v>
      </c>
      <c r="F212" s="20"/>
      <c r="I212" s="85"/>
      <c r="J212" s="85"/>
    </row>
    <row r="213" spans="1:10" x14ac:dyDescent="0.2">
      <c r="A213" s="116" t="s">
        <v>264</v>
      </c>
      <c r="B213" s="117"/>
      <c r="C213" s="117"/>
      <c r="D213" s="118"/>
      <c r="E213" s="119">
        <f>E207+E212</f>
        <v>745.68910143750009</v>
      </c>
      <c r="F213" s="20"/>
      <c r="I213" s="85"/>
      <c r="J213" s="85"/>
    </row>
    <row r="214" spans="1:10" ht="13.5" thickBot="1" x14ac:dyDescent="0.25">
      <c r="A214" s="103" t="s">
        <v>265</v>
      </c>
      <c r="B214" s="104" t="s">
        <v>10</v>
      </c>
      <c r="C214" s="277">
        <f>C198</f>
        <v>1.1000000000000001</v>
      </c>
      <c r="D214" s="105">
        <f>E213</f>
        <v>745.68910143750009</v>
      </c>
      <c r="E214" s="119">
        <f>C214*D214</f>
        <v>820.25801158125012</v>
      </c>
      <c r="F214" s="20"/>
      <c r="I214" s="85"/>
      <c r="J214" s="85"/>
    </row>
    <row r="215" spans="1:10" ht="13.5" thickBot="1" x14ac:dyDescent="0.25">
      <c r="C215" s="19"/>
      <c r="D215" s="123" t="s">
        <v>194</v>
      </c>
      <c r="E215" s="329">
        <f>E199</f>
        <v>0.25</v>
      </c>
      <c r="F215" s="21">
        <f>E214*E215</f>
        <v>205.06450289531253</v>
      </c>
      <c r="I215" s="85"/>
      <c r="J215" s="85"/>
    </row>
    <row r="216" spans="1:10" ht="11.25" customHeight="1" x14ac:dyDescent="0.2">
      <c r="I216" s="85"/>
      <c r="J216" s="85"/>
    </row>
    <row r="217" spans="1:10" ht="13.5" thickBot="1" x14ac:dyDescent="0.25">
      <c r="A217" s="9" t="s">
        <v>53</v>
      </c>
      <c r="I217" s="85"/>
      <c r="J217" s="85"/>
    </row>
    <row r="218" spans="1:10" ht="13.5" thickBot="1" x14ac:dyDescent="0.25">
      <c r="A218" s="60" t="s">
        <v>65</v>
      </c>
      <c r="B218" s="61" t="s">
        <v>66</v>
      </c>
      <c r="C218" s="61" t="s">
        <v>42</v>
      </c>
      <c r="D218" s="62" t="s">
        <v>239</v>
      </c>
      <c r="E218" s="62" t="s">
        <v>67</v>
      </c>
      <c r="F218" s="63" t="s">
        <v>68</v>
      </c>
      <c r="I218" s="85"/>
      <c r="J218" s="85"/>
    </row>
    <row r="219" spans="1:10" x14ac:dyDescent="0.2">
      <c r="A219" s="13" t="s">
        <v>12</v>
      </c>
      <c r="B219" s="14" t="s">
        <v>10</v>
      </c>
      <c r="C219" s="15">
        <f>C198</f>
        <v>1.1000000000000001</v>
      </c>
      <c r="D219" s="15">
        <f>0.01*($C$205)</f>
        <v>1475.1367560000001</v>
      </c>
      <c r="E219" s="15">
        <f>C219*D219</f>
        <v>1622.6504316000003</v>
      </c>
      <c r="I219" s="85"/>
      <c r="J219" s="85"/>
    </row>
    <row r="220" spans="1:10" x14ac:dyDescent="0.2">
      <c r="A220" s="16" t="s">
        <v>193</v>
      </c>
      <c r="B220" s="17" t="s">
        <v>10</v>
      </c>
      <c r="C220" s="15">
        <f>C198</f>
        <v>1.1000000000000001</v>
      </c>
      <c r="D220" s="89">
        <v>150</v>
      </c>
      <c r="E220" s="18">
        <f>C220*D220</f>
        <v>165</v>
      </c>
      <c r="I220" s="85"/>
      <c r="J220" s="85"/>
    </row>
    <row r="221" spans="1:10" x14ac:dyDescent="0.2">
      <c r="A221" s="16" t="s">
        <v>13</v>
      </c>
      <c r="B221" s="17" t="s">
        <v>10</v>
      </c>
      <c r="C221" s="15">
        <f>C198</f>
        <v>1.1000000000000001</v>
      </c>
      <c r="D221" s="89">
        <v>2510</v>
      </c>
      <c r="E221" s="18">
        <f>C221*D221</f>
        <v>2761</v>
      </c>
      <c r="F221" s="31"/>
      <c r="I221" s="85"/>
      <c r="J221" s="85"/>
    </row>
    <row r="222" spans="1:10" ht="13.5" thickBot="1" x14ac:dyDescent="0.25">
      <c r="A222" s="103" t="s">
        <v>14</v>
      </c>
      <c r="B222" s="104" t="s">
        <v>8</v>
      </c>
      <c r="C222" s="104">
        <v>12</v>
      </c>
      <c r="D222" s="105">
        <f>SUM(E219:E221)</f>
        <v>4548.6504316</v>
      </c>
      <c r="E222" s="105">
        <f>D222/C222</f>
        <v>379.05420263333332</v>
      </c>
      <c r="I222" s="85"/>
      <c r="J222" s="85"/>
    </row>
    <row r="223" spans="1:10" ht="13.5" thickBot="1" x14ac:dyDescent="0.25">
      <c r="D223" s="123" t="s">
        <v>194</v>
      </c>
      <c r="E223" s="329">
        <f>E215</f>
        <v>0.25</v>
      </c>
      <c r="F223" s="124">
        <f>E222*E223</f>
        <v>94.76355065833333</v>
      </c>
      <c r="I223" s="85"/>
      <c r="J223" s="85"/>
    </row>
    <row r="224" spans="1:10" ht="11.25" customHeight="1" x14ac:dyDescent="0.2">
      <c r="I224" s="85"/>
      <c r="J224" s="85"/>
    </row>
    <row r="225" spans="1:10" x14ac:dyDescent="0.2">
      <c r="A225" s="9" t="s">
        <v>54</v>
      </c>
      <c r="B225" s="32"/>
      <c r="I225" s="85"/>
      <c r="J225" s="85"/>
    </row>
    <row r="226" spans="1:10" x14ac:dyDescent="0.2">
      <c r="B226" s="32"/>
      <c r="I226" s="85"/>
      <c r="J226" s="85"/>
    </row>
    <row r="227" spans="1:10" x14ac:dyDescent="0.2">
      <c r="A227" s="103" t="s">
        <v>118</v>
      </c>
      <c r="B227" s="359">
        <v>912</v>
      </c>
      <c r="I227" s="85"/>
      <c r="J227" s="85"/>
    </row>
    <row r="228" spans="1:10" ht="13.5" thickBot="1" x14ac:dyDescent="0.25">
      <c r="B228" s="32"/>
      <c r="I228" s="85"/>
      <c r="J228" s="85"/>
    </row>
    <row r="229" spans="1:10" ht="13.5" thickBot="1" x14ac:dyDescent="0.25">
      <c r="A229" s="60" t="s">
        <v>65</v>
      </c>
      <c r="B229" s="61" t="s">
        <v>66</v>
      </c>
      <c r="C229" s="61" t="s">
        <v>263</v>
      </c>
      <c r="D229" s="62" t="s">
        <v>239</v>
      </c>
      <c r="E229" s="62" t="s">
        <v>67</v>
      </c>
      <c r="F229" s="63" t="s">
        <v>68</v>
      </c>
      <c r="I229" s="85"/>
      <c r="J229" s="85"/>
    </row>
    <row r="230" spans="1:10" x14ac:dyDescent="0.2">
      <c r="A230" s="13" t="s">
        <v>15</v>
      </c>
      <c r="B230" s="14" t="s">
        <v>16</v>
      </c>
      <c r="C230" s="97">
        <v>2.6</v>
      </c>
      <c r="D230" s="98">
        <v>3.67</v>
      </c>
      <c r="E230" s="15"/>
      <c r="I230" s="85"/>
      <c r="J230" s="85"/>
    </row>
    <row r="231" spans="1:10" x14ac:dyDescent="0.2">
      <c r="A231" s="16" t="s">
        <v>17</v>
      </c>
      <c r="B231" s="17" t="s">
        <v>18</v>
      </c>
      <c r="C231" s="361">
        <f>B227</f>
        <v>912</v>
      </c>
      <c r="D231" s="274">
        <f>IFERROR(+D230/C230,"-")</f>
        <v>1.4115384615384614</v>
      </c>
      <c r="E231" s="18">
        <f>IFERROR(C231*D231,"-")</f>
        <v>1287.3230769230768</v>
      </c>
      <c r="I231" s="85"/>
      <c r="J231" s="85"/>
    </row>
    <row r="232" spans="1:10" x14ac:dyDescent="0.2">
      <c r="A232" s="16" t="s">
        <v>240</v>
      </c>
      <c r="B232" s="17" t="s">
        <v>19</v>
      </c>
      <c r="C232" s="100">
        <v>1.33</v>
      </c>
      <c r="D232" s="89">
        <v>15.5</v>
      </c>
      <c r="E232" s="18"/>
      <c r="G232" s="112"/>
      <c r="H232" s="52"/>
      <c r="I232" s="85"/>
      <c r="J232" s="85"/>
    </row>
    <row r="233" spans="1:10" x14ac:dyDescent="0.2">
      <c r="A233" s="16" t="s">
        <v>20</v>
      </c>
      <c r="B233" s="17" t="s">
        <v>18</v>
      </c>
      <c r="C233" s="361">
        <f>C231</f>
        <v>912</v>
      </c>
      <c r="D233" s="271">
        <f>+C232*D232/1000</f>
        <v>2.0615000000000001E-2</v>
      </c>
      <c r="E233" s="18">
        <f>C233*D233</f>
        <v>18.800880000000003</v>
      </c>
      <c r="G233" s="112"/>
      <c r="H233" s="52"/>
      <c r="I233" s="85"/>
      <c r="J233" s="85"/>
    </row>
    <row r="234" spans="1:10" x14ac:dyDescent="0.2">
      <c r="A234" s="16" t="s">
        <v>241</v>
      </c>
      <c r="B234" s="17" t="s">
        <v>19</v>
      </c>
      <c r="C234" s="100">
        <v>0.18</v>
      </c>
      <c r="D234" s="89">
        <v>21.86</v>
      </c>
      <c r="E234" s="18"/>
      <c r="G234" s="112"/>
      <c r="H234" s="52"/>
      <c r="I234" s="85"/>
      <c r="J234" s="85"/>
    </row>
    <row r="235" spans="1:10" x14ac:dyDescent="0.2">
      <c r="A235" s="16" t="s">
        <v>21</v>
      </c>
      <c r="B235" s="17" t="s">
        <v>18</v>
      </c>
      <c r="C235" s="361">
        <f>C231</f>
        <v>912</v>
      </c>
      <c r="D235" s="271">
        <f>+C234*D234/1000</f>
        <v>3.9347999999999996E-3</v>
      </c>
      <c r="E235" s="18">
        <f>C235*D235</f>
        <v>3.5885375999999995</v>
      </c>
      <c r="G235" s="112"/>
      <c r="H235" s="52"/>
      <c r="I235" s="85"/>
      <c r="J235" s="85"/>
    </row>
    <row r="236" spans="1:10" x14ac:dyDescent="0.2">
      <c r="A236" s="16" t="s">
        <v>242</v>
      </c>
      <c r="B236" s="17" t="s">
        <v>19</v>
      </c>
      <c r="C236" s="100">
        <v>0.5</v>
      </c>
      <c r="D236" s="89">
        <v>33.5</v>
      </c>
      <c r="E236" s="18"/>
      <c r="G236" s="112"/>
      <c r="H236" s="52"/>
      <c r="I236" s="85"/>
      <c r="J236" s="85"/>
    </row>
    <row r="237" spans="1:10" x14ac:dyDescent="0.2">
      <c r="A237" s="16" t="s">
        <v>22</v>
      </c>
      <c r="B237" s="17" t="s">
        <v>18</v>
      </c>
      <c r="C237" s="18">
        <f>C231</f>
        <v>912</v>
      </c>
      <c r="D237" s="271">
        <f>+C236*D236/1000</f>
        <v>1.6750000000000001E-2</v>
      </c>
      <c r="E237" s="18">
        <f>C237*D237</f>
        <v>15.276000000000002</v>
      </c>
      <c r="G237" s="112"/>
      <c r="H237" s="52"/>
      <c r="I237" s="85"/>
      <c r="J237" s="85"/>
    </row>
    <row r="238" spans="1:10" x14ac:dyDescent="0.2">
      <c r="A238" s="346" t="s">
        <v>466</v>
      </c>
      <c r="B238" s="17" t="s">
        <v>19</v>
      </c>
      <c r="C238" s="100">
        <v>20</v>
      </c>
      <c r="D238" s="89">
        <v>2.81</v>
      </c>
      <c r="E238" s="18"/>
      <c r="G238" s="112"/>
      <c r="H238" s="52"/>
      <c r="I238" s="85"/>
      <c r="J238" s="85"/>
    </row>
    <row r="239" spans="1:10" x14ac:dyDescent="0.2">
      <c r="A239" s="346" t="s">
        <v>467</v>
      </c>
      <c r="B239" s="17" t="s">
        <v>18</v>
      </c>
      <c r="C239" s="18">
        <f>C233</f>
        <v>912</v>
      </c>
      <c r="D239" s="271">
        <f>+C238*D238/1000</f>
        <v>5.62E-2</v>
      </c>
      <c r="E239" s="18">
        <f>C239*D239</f>
        <v>51.254399999999997</v>
      </c>
      <c r="G239" s="112"/>
      <c r="H239" s="52"/>
      <c r="I239" s="85"/>
      <c r="J239" s="85"/>
    </row>
    <row r="240" spans="1:10" x14ac:dyDescent="0.2">
      <c r="A240" s="16" t="s">
        <v>23</v>
      </c>
      <c r="B240" s="17" t="s">
        <v>24</v>
      </c>
      <c r="C240" s="100">
        <v>0.5</v>
      </c>
      <c r="D240" s="89">
        <v>20.41</v>
      </c>
      <c r="E240" s="18"/>
      <c r="G240" s="112"/>
      <c r="H240" s="52"/>
      <c r="I240" s="85"/>
      <c r="J240" s="85"/>
    </row>
    <row r="241" spans="1:10" x14ac:dyDescent="0.2">
      <c r="A241" s="16" t="s">
        <v>25</v>
      </c>
      <c r="B241" s="17" t="s">
        <v>18</v>
      </c>
      <c r="C241" s="361">
        <f>C231</f>
        <v>912</v>
      </c>
      <c r="D241" s="271">
        <f>+C240*D240/1000</f>
        <v>1.0205000000000001E-2</v>
      </c>
      <c r="E241" s="18">
        <f>C241*D241</f>
        <v>9.3069600000000001</v>
      </c>
      <c r="G241" s="112"/>
      <c r="H241" s="52"/>
      <c r="I241" s="85"/>
      <c r="J241" s="85"/>
    </row>
    <row r="242" spans="1:10" ht="13.5" thickBot="1" x14ac:dyDescent="0.25">
      <c r="A242" s="103" t="s">
        <v>262</v>
      </c>
      <c r="B242" s="104" t="s">
        <v>119</v>
      </c>
      <c r="C242" s="272"/>
      <c r="D242" s="273">
        <f>IFERROR(D231+D233+D235+D237+D241,0)</f>
        <v>1.4630432615384614</v>
      </c>
      <c r="E242" s="18"/>
      <c r="G242" s="112"/>
      <c r="H242" s="52"/>
      <c r="I242" s="85"/>
      <c r="J242" s="85"/>
    </row>
    <row r="243" spans="1:10" ht="13.5" thickBot="1" x14ac:dyDescent="0.25">
      <c r="F243" s="21">
        <f>SUM(E230:E241)</f>
        <v>1385.5498545230769</v>
      </c>
      <c r="I243" s="85"/>
      <c r="J243" s="85"/>
    </row>
    <row r="244" spans="1:10" ht="11.25" customHeight="1" x14ac:dyDescent="0.2">
      <c r="I244" s="85"/>
      <c r="J244" s="85"/>
    </row>
    <row r="245" spans="1:10" ht="13.5" thickBot="1" x14ac:dyDescent="0.25">
      <c r="A245" s="9" t="s">
        <v>55</v>
      </c>
      <c r="I245" s="85"/>
      <c r="J245" s="85"/>
    </row>
    <row r="246" spans="1:10" ht="13.5" thickBot="1" x14ac:dyDescent="0.25">
      <c r="A246" s="60" t="s">
        <v>65</v>
      </c>
      <c r="B246" s="61" t="s">
        <v>66</v>
      </c>
      <c r="C246" s="61" t="s">
        <v>42</v>
      </c>
      <c r="D246" s="62" t="s">
        <v>239</v>
      </c>
      <c r="E246" s="62" t="s">
        <v>67</v>
      </c>
      <c r="F246" s="63" t="s">
        <v>68</v>
      </c>
      <c r="I246" s="85"/>
      <c r="J246" s="85"/>
    </row>
    <row r="247" spans="1:10" ht="13.5" thickBot="1" x14ac:dyDescent="0.25">
      <c r="A247" s="13" t="s">
        <v>117</v>
      </c>
      <c r="B247" s="14" t="s">
        <v>119</v>
      </c>
      <c r="C247" s="361">
        <f>C231</f>
        <v>912</v>
      </c>
      <c r="D247" s="87">
        <v>0.79</v>
      </c>
      <c r="E247" s="15">
        <f>C247*D247</f>
        <v>720.48</v>
      </c>
      <c r="I247" s="85"/>
      <c r="J247" s="85"/>
    </row>
    <row r="248" spans="1:10" ht="13.5" thickBot="1" x14ac:dyDescent="0.25">
      <c r="F248" s="21">
        <f>E247</f>
        <v>720.48</v>
      </c>
      <c r="I248" s="85"/>
      <c r="J248" s="85"/>
    </row>
    <row r="249" spans="1:10" ht="11.25" customHeight="1" x14ac:dyDescent="0.2">
      <c r="I249" s="85"/>
      <c r="J249" s="85"/>
    </row>
    <row r="250" spans="1:10" ht="13.5" thickBot="1" x14ac:dyDescent="0.25">
      <c r="A250" s="9" t="s">
        <v>63</v>
      </c>
      <c r="I250" s="85"/>
      <c r="J250" s="85"/>
    </row>
    <row r="251" spans="1:10" ht="13.5" thickBot="1" x14ac:dyDescent="0.25">
      <c r="A251" s="60" t="s">
        <v>65</v>
      </c>
      <c r="B251" s="61" t="s">
        <v>66</v>
      </c>
      <c r="C251" s="61" t="s">
        <v>42</v>
      </c>
      <c r="D251" s="62" t="s">
        <v>239</v>
      </c>
      <c r="E251" s="62" t="s">
        <v>67</v>
      </c>
      <c r="F251" s="63" t="s">
        <v>68</v>
      </c>
      <c r="I251" s="85"/>
      <c r="J251" s="85"/>
    </row>
    <row r="252" spans="1:10" x14ac:dyDescent="0.2">
      <c r="A252" s="308" t="s">
        <v>400</v>
      </c>
      <c r="B252" s="14" t="s">
        <v>10</v>
      </c>
      <c r="C252" s="96">
        <v>6</v>
      </c>
      <c r="D252" s="87">
        <v>1577</v>
      </c>
      <c r="E252" s="15">
        <f>C252*D252</f>
        <v>9462</v>
      </c>
      <c r="I252" s="85"/>
      <c r="J252" s="85"/>
    </row>
    <row r="253" spans="1:10" x14ac:dyDescent="0.2">
      <c r="A253" s="13" t="s">
        <v>120</v>
      </c>
      <c r="B253" s="14" t="s">
        <v>10</v>
      </c>
      <c r="C253" s="96">
        <v>2</v>
      </c>
      <c r="D253" s="106"/>
      <c r="E253" s="15"/>
      <c r="I253" s="85"/>
      <c r="J253" s="85"/>
    </row>
    <row r="254" spans="1:10" x14ac:dyDescent="0.2">
      <c r="A254" s="13" t="s">
        <v>73</v>
      </c>
      <c r="B254" s="14" t="s">
        <v>10</v>
      </c>
      <c r="C254" s="15">
        <f>C252*C253</f>
        <v>12</v>
      </c>
      <c r="D254" s="87">
        <v>515</v>
      </c>
      <c r="E254" s="15">
        <f>C254*D254</f>
        <v>6180</v>
      </c>
      <c r="I254" s="85"/>
      <c r="J254" s="85"/>
    </row>
    <row r="255" spans="1:10" x14ac:dyDescent="0.2">
      <c r="A255" s="346" t="s">
        <v>483</v>
      </c>
      <c r="B255" s="17" t="s">
        <v>26</v>
      </c>
      <c r="C255" s="99">
        <v>90000</v>
      </c>
      <c r="D255" s="18">
        <f>E252+E254</f>
        <v>15642</v>
      </c>
      <c r="E255" s="18">
        <f>IFERROR(D255/C255,"-")</f>
        <v>0.17380000000000001</v>
      </c>
      <c r="I255" s="85"/>
      <c r="J255" s="85"/>
    </row>
    <row r="256" spans="1:10" ht="13.5" thickBot="1" x14ac:dyDescent="0.25">
      <c r="A256" s="16" t="s">
        <v>57</v>
      </c>
      <c r="B256" s="17" t="s">
        <v>18</v>
      </c>
      <c r="C256" s="361">
        <f>B227</f>
        <v>912</v>
      </c>
      <c r="D256" s="18">
        <f>E255</f>
        <v>0.17380000000000001</v>
      </c>
      <c r="E256" s="18">
        <f>IFERROR(C256*D256,0)</f>
        <v>158.50560000000002</v>
      </c>
      <c r="I256" s="85"/>
      <c r="J256" s="85"/>
    </row>
    <row r="257" spans="1:10" ht="13.5" thickBot="1" x14ac:dyDescent="0.25">
      <c r="F257" s="21">
        <f>E256</f>
        <v>158.50560000000002</v>
      </c>
      <c r="I257" s="85"/>
      <c r="J257" s="85"/>
    </row>
    <row r="258" spans="1:10" ht="11.25" customHeight="1" x14ac:dyDescent="0.2">
      <c r="I258" s="85"/>
      <c r="J258" s="85"/>
    </row>
    <row r="259" spans="1:10" ht="11.25" customHeight="1" thickBot="1" x14ac:dyDescent="0.25">
      <c r="G259" s="9"/>
    </row>
    <row r="260" spans="1:10" ht="13.5" thickBot="1" x14ac:dyDescent="0.25">
      <c r="A260" s="24" t="s">
        <v>227</v>
      </c>
      <c r="B260" s="25"/>
      <c r="C260" s="25"/>
      <c r="D260" s="26"/>
      <c r="E260" s="27"/>
      <c r="F260" s="21">
        <f>+SUM(F187:F259)</f>
        <v>3069.6893249517225</v>
      </c>
      <c r="G260" s="9"/>
    </row>
    <row r="261" spans="1:10" ht="11.25" customHeight="1" x14ac:dyDescent="0.2">
      <c r="G261" s="9"/>
    </row>
    <row r="262" spans="1:10" x14ac:dyDescent="0.2">
      <c r="A262" s="34" t="s">
        <v>455</v>
      </c>
      <c r="B262" s="34"/>
      <c r="C262" s="34"/>
      <c r="D262" s="35"/>
      <c r="E262" s="35"/>
      <c r="F262" s="33"/>
      <c r="G262" s="9"/>
    </row>
    <row r="263" spans="1:10" ht="11.25" customHeight="1" thickBot="1" x14ac:dyDescent="0.25">
      <c r="G263" s="9"/>
    </row>
    <row r="264" spans="1:10" ht="13.5" thickBot="1" x14ac:dyDescent="0.25">
      <c r="A264" s="60" t="s">
        <v>65</v>
      </c>
      <c r="B264" s="61" t="s">
        <v>66</v>
      </c>
      <c r="C264" s="61" t="s">
        <v>42</v>
      </c>
      <c r="D264" s="62" t="s">
        <v>239</v>
      </c>
      <c r="E264" s="62" t="s">
        <v>67</v>
      </c>
      <c r="F264" s="63" t="s">
        <v>68</v>
      </c>
      <c r="G264" s="9"/>
    </row>
    <row r="265" spans="1:10" x14ac:dyDescent="0.2">
      <c r="A265" s="16" t="s">
        <v>74</v>
      </c>
      <c r="B265" s="17" t="s">
        <v>10</v>
      </c>
      <c r="C265" s="101">
        <v>0.16666666666666666</v>
      </c>
      <c r="D265" s="87">
        <v>39</v>
      </c>
      <c r="E265" s="18">
        <f>C265*D265</f>
        <v>6.5</v>
      </c>
      <c r="F265" s="55"/>
      <c r="G265" s="9"/>
    </row>
    <row r="266" spans="1:10" x14ac:dyDescent="0.2">
      <c r="A266" s="16" t="s">
        <v>28</v>
      </c>
      <c r="B266" s="17" t="s">
        <v>10</v>
      </c>
      <c r="C266" s="101">
        <v>0.16666666666666666</v>
      </c>
      <c r="D266" s="87">
        <v>26.92</v>
      </c>
      <c r="E266" s="18">
        <f>C266*D266</f>
        <v>4.4866666666666664</v>
      </c>
      <c r="F266" s="55"/>
      <c r="G266" s="9"/>
    </row>
    <row r="267" spans="1:10" x14ac:dyDescent="0.2">
      <c r="A267" s="16" t="s">
        <v>29</v>
      </c>
      <c r="B267" s="17" t="s">
        <v>10</v>
      </c>
      <c r="C267" s="101">
        <v>0.16666666666666666</v>
      </c>
      <c r="D267" s="87">
        <v>26.19</v>
      </c>
      <c r="E267" s="18">
        <f>C267*D267</f>
        <v>4.3650000000000002</v>
      </c>
      <c r="F267" s="55"/>
      <c r="G267" s="9"/>
    </row>
    <row r="268" spans="1:10" ht="13.5" thickBot="1" x14ac:dyDescent="0.25">
      <c r="A268" s="346" t="s">
        <v>444</v>
      </c>
      <c r="B268" s="399" t="s">
        <v>445</v>
      </c>
      <c r="C268" s="348">
        <v>1</v>
      </c>
      <c r="D268" s="87">
        <v>70</v>
      </c>
      <c r="E268" s="18">
        <f>C268*D268</f>
        <v>70</v>
      </c>
      <c r="F268" s="55"/>
      <c r="G268" s="9"/>
    </row>
    <row r="269" spans="1:10" ht="13.5" hidden="1" thickBot="1" x14ac:dyDescent="0.25">
      <c r="A269" s="16" t="s">
        <v>61</v>
      </c>
      <c r="B269" s="17" t="s">
        <v>59</v>
      </c>
      <c r="C269" s="101"/>
      <c r="D269" s="87"/>
      <c r="E269" s="18">
        <f>C269*D269</f>
        <v>0</v>
      </c>
      <c r="F269" s="55"/>
      <c r="G269" s="9"/>
    </row>
    <row r="270" spans="1:10" ht="13.5" thickBot="1" x14ac:dyDescent="0.25">
      <c r="A270" s="34"/>
      <c r="B270" s="34"/>
      <c r="C270" s="34"/>
      <c r="D270" s="34"/>
      <c r="E270" s="35"/>
      <c r="F270" s="21">
        <f>SUM(E265:E269)</f>
        <v>85.351666666666659</v>
      </c>
      <c r="G270" s="9"/>
    </row>
    <row r="271" spans="1:10" ht="11.25" customHeight="1" thickBot="1" x14ac:dyDescent="0.25">
      <c r="G271" s="9"/>
    </row>
    <row r="272" spans="1:10" ht="13.5" thickBot="1" x14ac:dyDescent="0.25">
      <c r="A272" s="24" t="s">
        <v>456</v>
      </c>
      <c r="B272" s="25"/>
      <c r="C272" s="25"/>
      <c r="D272" s="26"/>
      <c r="E272" s="27"/>
      <c r="F272" s="21">
        <f>+F270</f>
        <v>85.351666666666659</v>
      </c>
      <c r="G272" s="9"/>
    </row>
    <row r="273" spans="1:7" ht="11.25" customHeight="1" x14ac:dyDescent="0.2">
      <c r="G273" s="9"/>
    </row>
    <row r="274" spans="1:7" x14ac:dyDescent="0.2">
      <c r="A274" s="34" t="s">
        <v>78</v>
      </c>
      <c r="B274" s="34"/>
      <c r="C274" s="34"/>
      <c r="D274" s="35"/>
      <c r="E274" s="35"/>
      <c r="F274" s="33"/>
    </row>
    <row r="275" spans="1:7" ht="11.25" customHeight="1" thickBot="1" x14ac:dyDescent="0.25"/>
    <row r="276" spans="1:7" ht="13.5" thickBot="1" x14ac:dyDescent="0.25">
      <c r="A276" s="60" t="s">
        <v>65</v>
      </c>
      <c r="B276" s="61" t="s">
        <v>66</v>
      </c>
      <c r="C276" s="61" t="s">
        <v>42</v>
      </c>
      <c r="D276" s="62" t="s">
        <v>239</v>
      </c>
      <c r="E276" s="62" t="s">
        <v>67</v>
      </c>
      <c r="F276" s="63" t="s">
        <v>68</v>
      </c>
    </row>
    <row r="277" spans="1:7" x14ac:dyDescent="0.2">
      <c r="A277" s="16" t="s">
        <v>225</v>
      </c>
      <c r="B277" s="53" t="s">
        <v>59</v>
      </c>
      <c r="C277" s="69">
        <f>C187</f>
        <v>1</v>
      </c>
      <c r="D277" s="89">
        <v>600</v>
      </c>
      <c r="E277" s="18">
        <f>+D277*C277</f>
        <v>600</v>
      </c>
      <c r="F277" s="55"/>
    </row>
    <row r="278" spans="1:7" x14ac:dyDescent="0.2">
      <c r="A278" s="16" t="s">
        <v>62</v>
      </c>
      <c r="B278" s="53" t="s">
        <v>8</v>
      </c>
      <c r="C278" s="155">
        <v>60</v>
      </c>
      <c r="D278" s="80">
        <f>SUM(E277:E277)</f>
        <v>600</v>
      </c>
      <c r="E278" s="80">
        <f>+D278/C278</f>
        <v>10</v>
      </c>
      <c r="F278" s="55"/>
    </row>
    <row r="279" spans="1:7" x14ac:dyDescent="0.2">
      <c r="A279" s="16" t="s">
        <v>226</v>
      </c>
      <c r="B279" s="17" t="s">
        <v>10</v>
      </c>
      <c r="C279" s="69">
        <f>+C277</f>
        <v>1</v>
      </c>
      <c r="D279" s="89">
        <v>100</v>
      </c>
      <c r="E279" s="18">
        <f>C279*D279</f>
        <v>100</v>
      </c>
      <c r="F279" s="55"/>
    </row>
    <row r="280" spans="1:7" ht="13.5" thickBot="1" x14ac:dyDescent="0.25">
      <c r="A280" s="16" t="s">
        <v>39</v>
      </c>
      <c r="B280" s="53" t="s">
        <v>8</v>
      </c>
      <c r="C280" s="155">
        <v>1</v>
      </c>
      <c r="D280" s="80">
        <f>+E279</f>
        <v>100</v>
      </c>
      <c r="E280" s="80">
        <f>+D280/C280</f>
        <v>100</v>
      </c>
      <c r="F280" s="55"/>
    </row>
    <row r="281" spans="1:7" ht="13.5" thickBot="1" x14ac:dyDescent="0.25">
      <c r="A281" s="81"/>
      <c r="B281" s="81"/>
      <c r="C281" s="81"/>
      <c r="D281" s="123" t="s">
        <v>194</v>
      </c>
      <c r="E281" s="329">
        <f>E223</f>
        <v>0.25</v>
      </c>
      <c r="F281" s="82">
        <f>(E278+E280)*E281</f>
        <v>27.5</v>
      </c>
    </row>
    <row r="282" spans="1:7" s="51" customFormat="1" ht="11.25" customHeight="1" thickBot="1" x14ac:dyDescent="0.25">
      <c r="A282" s="9"/>
      <c r="B282" s="9"/>
      <c r="C282" s="9"/>
      <c r="D282" s="10"/>
      <c r="E282" s="10"/>
      <c r="F282" s="10"/>
      <c r="G282" s="84"/>
    </row>
    <row r="283" spans="1:7" ht="13.5" thickBot="1" x14ac:dyDescent="0.25">
      <c r="A283" s="24" t="s">
        <v>224</v>
      </c>
      <c r="B283" s="25"/>
      <c r="C283" s="25"/>
      <c r="D283" s="26"/>
      <c r="E283" s="27"/>
      <c r="F283" s="21">
        <f>+F281</f>
        <v>27.5</v>
      </c>
    </row>
    <row r="284" spans="1:7" ht="11.25" customHeight="1" thickBot="1" x14ac:dyDescent="0.25"/>
    <row r="285" spans="1:7" ht="17.25" customHeight="1" thickBot="1" x14ac:dyDescent="0.25">
      <c r="A285" s="24" t="s">
        <v>229</v>
      </c>
      <c r="B285" s="28"/>
      <c r="C285" s="28"/>
      <c r="D285" s="29"/>
      <c r="E285" s="30"/>
      <c r="F285" s="22">
        <f>+F145+F179+F260+F272+F283</f>
        <v>6308.5643876943386</v>
      </c>
    </row>
    <row r="286" spans="1:7" ht="11.25" customHeight="1" x14ac:dyDescent="0.2"/>
    <row r="287" spans="1:7" x14ac:dyDescent="0.2">
      <c r="A287" s="11" t="s">
        <v>92</v>
      </c>
    </row>
    <row r="288" spans="1:7" ht="11.25" customHeight="1" thickBot="1" x14ac:dyDescent="0.25"/>
    <row r="289" spans="1:7" ht="13.5" thickBot="1" x14ac:dyDescent="0.25">
      <c r="A289" s="60" t="s">
        <v>65</v>
      </c>
      <c r="B289" s="61" t="s">
        <v>66</v>
      </c>
      <c r="C289" s="61" t="s">
        <v>42</v>
      </c>
      <c r="D289" s="62" t="s">
        <v>239</v>
      </c>
      <c r="E289" s="62" t="s">
        <v>67</v>
      </c>
      <c r="F289" s="63" t="s">
        <v>68</v>
      </c>
    </row>
    <row r="290" spans="1:7" ht="13.5" thickBot="1" x14ac:dyDescent="0.25">
      <c r="A290" s="13" t="s">
        <v>38</v>
      </c>
      <c r="B290" s="14" t="s">
        <v>2</v>
      </c>
      <c r="C290" s="141">
        <f>'5.BDI'!C21*100</f>
        <v>26.090000000000003</v>
      </c>
      <c r="D290" s="15">
        <f>+F285</f>
        <v>6308.5643876943386</v>
      </c>
      <c r="E290" s="15">
        <f>C290*D290/100</f>
        <v>1645.9044487494532</v>
      </c>
    </row>
    <row r="291" spans="1:7" ht="13.5" thickBot="1" x14ac:dyDescent="0.25">
      <c r="F291" s="21">
        <f>+E290</f>
        <v>1645.9044487494532</v>
      </c>
    </row>
    <row r="292" spans="1:7" ht="11.25" customHeight="1" thickBot="1" x14ac:dyDescent="0.25"/>
    <row r="293" spans="1:7" ht="13.5" thickBot="1" x14ac:dyDescent="0.25">
      <c r="A293" s="24" t="s">
        <v>244</v>
      </c>
      <c r="B293" s="28"/>
      <c r="C293" s="28"/>
      <c r="D293" s="29"/>
      <c r="E293" s="30"/>
      <c r="F293" s="22">
        <f>F291</f>
        <v>1645.9044487494532</v>
      </c>
    </row>
    <row r="294" spans="1:7" x14ac:dyDescent="0.2">
      <c r="A294" s="34"/>
      <c r="B294" s="34"/>
      <c r="C294" s="34"/>
      <c r="D294" s="35"/>
      <c r="E294" s="35"/>
      <c r="F294" s="33"/>
    </row>
    <row r="295" spans="1:7" ht="11.25" customHeight="1" thickBot="1" x14ac:dyDescent="0.25"/>
    <row r="296" spans="1:7" ht="24.75" customHeight="1" thickBot="1" x14ac:dyDescent="0.25">
      <c r="A296" s="24" t="s">
        <v>230</v>
      </c>
      <c r="B296" s="28"/>
      <c r="C296" s="28"/>
      <c r="D296" s="29"/>
      <c r="E296" s="30"/>
      <c r="F296" s="22">
        <f>F285+F293</f>
        <v>7954.4688364437916</v>
      </c>
    </row>
    <row r="297" spans="1:7" ht="12.6" customHeight="1" x14ac:dyDescent="0.2">
      <c r="A297" s="56"/>
      <c r="B297" s="56"/>
      <c r="C297" s="56"/>
      <c r="D297" s="57"/>
      <c r="E297" s="57"/>
      <c r="F297" s="57"/>
    </row>
    <row r="298" spans="1:7" ht="14.25" hidden="1" x14ac:dyDescent="0.2">
      <c r="A298" s="8"/>
      <c r="B298" s="8"/>
      <c r="C298" s="8"/>
      <c r="D298" s="36"/>
      <c r="E298" s="36"/>
    </row>
    <row r="299" spans="1:7" ht="16.149999999999999" hidden="1" customHeight="1" x14ac:dyDescent="0.2">
      <c r="A299" s="252" t="s">
        <v>223</v>
      </c>
      <c r="B299" s="253"/>
      <c r="C299" s="253"/>
      <c r="D299" s="254"/>
      <c r="E299" s="255" t="s">
        <v>27</v>
      </c>
      <c r="G299" s="10" t="s">
        <v>204</v>
      </c>
    </row>
    <row r="300" spans="1:7" hidden="1" x14ac:dyDescent="0.2"/>
    <row r="301" spans="1:7" ht="25.5" hidden="1" customHeight="1" thickBot="1" x14ac:dyDescent="0.25">
      <c r="A301" s="24" t="s">
        <v>72</v>
      </c>
      <c r="B301" s="25"/>
      <c r="C301" s="25"/>
      <c r="D301" s="26"/>
      <c r="E301" s="256" t="s">
        <v>34</v>
      </c>
      <c r="F301" s="257" t="str">
        <f>IFERROR(F296/D299,"-")</f>
        <v>-</v>
      </c>
      <c r="G301" s="10" t="s">
        <v>204</v>
      </c>
    </row>
    <row r="302" spans="1:7" ht="12.6" hidden="1" customHeight="1" x14ac:dyDescent="0.2">
      <c r="A302" s="34"/>
      <c r="B302" s="34"/>
      <c r="C302" s="34"/>
      <c r="D302" s="35"/>
      <c r="E302" s="35"/>
      <c r="F302" s="35"/>
    </row>
    <row r="303" spans="1:7" s="4" customFormat="1" ht="9.75" hidden="1" customHeight="1" x14ac:dyDescent="0.2">
      <c r="A303" s="39"/>
      <c r="B303" s="10"/>
      <c r="C303" s="10"/>
      <c r="D303" s="10"/>
      <c r="E303" s="10"/>
      <c r="F303" s="10"/>
      <c r="G303" s="6"/>
    </row>
    <row r="304" spans="1:7" s="4" customFormat="1" ht="9.75" hidden="1" customHeight="1" x14ac:dyDescent="0.2">
      <c r="A304" s="39"/>
      <c r="B304" s="10"/>
      <c r="C304" s="10"/>
      <c r="D304" s="10"/>
      <c r="E304" s="10"/>
      <c r="F304" s="10"/>
      <c r="G304" s="6"/>
    </row>
    <row r="305" spans="1:7" s="4" customFormat="1" ht="9.75" hidden="1" customHeight="1" x14ac:dyDescent="0.2">
      <c r="A305" s="39"/>
      <c r="B305" s="10"/>
      <c r="C305" s="10"/>
      <c r="D305" s="10"/>
      <c r="E305" s="10"/>
      <c r="F305" s="10"/>
      <c r="G305" s="6"/>
    </row>
    <row r="307" spans="1:7" x14ac:dyDescent="0.2">
      <c r="F307" s="92">
        <f>'1. Coleta Domiciliar'!F297+'2. Coleta Seletiva'!F296</f>
        <v>24354.437860518323</v>
      </c>
    </row>
    <row r="335" spans="4:7" ht="9" customHeight="1" x14ac:dyDescent="0.2">
      <c r="D335" s="9"/>
      <c r="E335" s="9"/>
      <c r="F335" s="9"/>
      <c r="G335" s="9"/>
    </row>
  </sheetData>
  <mergeCells count="7">
    <mergeCell ref="A48:D48"/>
    <mergeCell ref="A12:F12"/>
    <mergeCell ref="A13:F13"/>
    <mergeCell ref="A15:F15"/>
    <mergeCell ref="A25:C25"/>
    <mergeCell ref="A40:E40"/>
    <mergeCell ref="A41:D41"/>
  </mergeCells>
  <hyperlinks>
    <hyperlink ref="A201" location="AbaRemun" display="3.1.2. Remuneração do Capital"/>
    <hyperlink ref="A185" location="AbaDeprec" display="3.1.1. Depreciação"/>
  </hyperlinks>
  <pageMargins left="0.9055118110236221" right="0.51181102362204722" top="0.74803149606299213" bottom="0.74803149606299213" header="0.31496062992125984" footer="0.31496062992125984"/>
  <pageSetup paperSize="9" scale="60" fitToHeight="3" orientation="portrait" verticalDpi="300" r:id="rId1"/>
  <headerFooter alignWithMargins="0">
    <oddFooter>&amp;R&amp;P de &amp;N</oddFooter>
  </headerFooter>
  <rowBreaks count="1" manualBreakCount="1">
    <brk id="215" max="5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B19" sqref="B19"/>
    </sheetView>
  </sheetViews>
  <sheetFormatPr defaultRowHeight="12.75" x14ac:dyDescent="0.2"/>
  <cols>
    <col min="2" max="2" width="14.28515625" bestFit="1" customWidth="1"/>
    <col min="3" max="3" width="13.28515625" bestFit="1" customWidth="1"/>
    <col min="4" max="4" width="11.85546875" customWidth="1"/>
    <col min="5" max="5" width="13.85546875" hidden="1" customWidth="1"/>
    <col min="6" max="6" width="13.85546875" customWidth="1"/>
    <col min="7" max="7" width="13.7109375" customWidth="1"/>
    <col min="8" max="8" width="10.42578125" bestFit="1" customWidth="1"/>
    <col min="10" max="11" width="11.42578125" bestFit="1" customWidth="1"/>
    <col min="12" max="12" width="10.42578125" bestFit="1" customWidth="1"/>
  </cols>
  <sheetData>
    <row r="1" spans="1:7" x14ac:dyDescent="0.2">
      <c r="A1" s="108" t="s">
        <v>471</v>
      </c>
    </row>
    <row r="2" spans="1:7" x14ac:dyDescent="0.2">
      <c r="A2" s="108" t="s">
        <v>410</v>
      </c>
    </row>
    <row r="3" spans="1:7" x14ac:dyDescent="0.2">
      <c r="A3" s="362" t="s">
        <v>324</v>
      </c>
      <c r="B3" s="362" t="s">
        <v>411</v>
      </c>
      <c r="C3" s="362" t="s">
        <v>412</v>
      </c>
      <c r="D3" s="362" t="s">
        <v>413</v>
      </c>
      <c r="E3" s="362" t="s">
        <v>414</v>
      </c>
      <c r="F3" s="362" t="s">
        <v>415</v>
      </c>
      <c r="G3" s="362" t="s">
        <v>416</v>
      </c>
    </row>
    <row r="4" spans="1:7" x14ac:dyDescent="0.2">
      <c r="A4" s="363">
        <v>1</v>
      </c>
      <c r="B4" s="364" t="s">
        <v>417</v>
      </c>
      <c r="C4" s="365"/>
      <c r="D4" s="364"/>
      <c r="E4" s="366">
        <f>C4*D4</f>
        <v>0</v>
      </c>
      <c r="F4" s="366">
        <f>'1. Coleta Domiciliar'!F297</f>
        <v>16399.969024074533</v>
      </c>
      <c r="G4" s="366">
        <f>F4-E4</f>
        <v>16399.969024074533</v>
      </c>
    </row>
    <row r="5" spans="1:7" x14ac:dyDescent="0.2">
      <c r="A5" s="363">
        <v>2</v>
      </c>
      <c r="B5" s="364" t="s">
        <v>418</v>
      </c>
      <c r="C5" s="365"/>
      <c r="D5" s="364"/>
      <c r="E5" s="366">
        <f t="shared" ref="E5:E8" si="0">C5*D5</f>
        <v>0</v>
      </c>
      <c r="F5" s="366">
        <f>'2. Coleta Seletiva'!F296</f>
        <v>7954.4688364437916</v>
      </c>
      <c r="G5" s="366">
        <f t="shared" ref="G5:G9" si="1">F5-E5</f>
        <v>7954.4688364437916</v>
      </c>
    </row>
    <row r="6" spans="1:7" hidden="1" x14ac:dyDescent="0.2">
      <c r="A6" s="363">
        <v>3</v>
      </c>
      <c r="B6" s="364" t="s">
        <v>427</v>
      </c>
      <c r="C6" s="365"/>
      <c r="D6" s="364"/>
      <c r="E6" s="366">
        <f t="shared" si="0"/>
        <v>0</v>
      </c>
      <c r="F6" s="366"/>
      <c r="G6" s="366">
        <f t="shared" si="1"/>
        <v>0</v>
      </c>
    </row>
    <row r="7" spans="1:7" hidden="1" x14ac:dyDescent="0.2">
      <c r="A7" s="363">
        <v>4</v>
      </c>
      <c r="B7" s="364" t="s">
        <v>428</v>
      </c>
      <c r="C7" s="365"/>
      <c r="D7" s="364"/>
      <c r="E7" s="366"/>
      <c r="F7" s="366"/>
      <c r="G7" s="366">
        <f t="shared" si="1"/>
        <v>0</v>
      </c>
    </row>
    <row r="8" spans="1:7" x14ac:dyDescent="0.2">
      <c r="A8" s="363"/>
      <c r="B8" s="364"/>
      <c r="C8" s="364"/>
      <c r="D8" s="364"/>
      <c r="E8" s="366">
        <f t="shared" si="0"/>
        <v>0</v>
      </c>
      <c r="F8" s="366"/>
      <c r="G8" s="366"/>
    </row>
    <row r="9" spans="1:7" x14ac:dyDescent="0.2">
      <c r="A9" s="367" t="s">
        <v>419</v>
      </c>
      <c r="B9" s="367"/>
      <c r="C9" s="368">
        <f>SUM(C4:C8)</f>
        <v>0</v>
      </c>
      <c r="D9" s="367">
        <v>1.0388999999999999</v>
      </c>
      <c r="E9" s="369">
        <f>SUM(E4:E8)</f>
        <v>0</v>
      </c>
      <c r="F9" s="369">
        <f>SUM(F4:F8)</f>
        <v>24354.437860518323</v>
      </c>
      <c r="G9" s="370">
        <f t="shared" si="1"/>
        <v>24354.437860518323</v>
      </c>
    </row>
    <row r="10" spans="1:7" x14ac:dyDescent="0.2">
      <c r="A10" s="367" t="s">
        <v>420</v>
      </c>
      <c r="B10" s="364"/>
      <c r="C10" s="364"/>
      <c r="D10" s="364"/>
      <c r="E10" s="369"/>
      <c r="F10" s="369">
        <v>67.66</v>
      </c>
      <c r="G10" s="364"/>
    </row>
    <row r="11" spans="1:7" x14ac:dyDescent="0.2">
      <c r="A11" s="367" t="s">
        <v>421</v>
      </c>
      <c r="B11" s="364"/>
      <c r="C11" s="364"/>
      <c r="D11" s="364"/>
      <c r="E11" s="369"/>
      <c r="F11" s="369">
        <f>F9/F10</f>
        <v>359.95326427014965</v>
      </c>
      <c r="G11" s="364"/>
    </row>
    <row r="12" spans="1:7" x14ac:dyDescent="0.2">
      <c r="A12" s="364"/>
      <c r="B12" s="364"/>
      <c r="C12" s="364"/>
      <c r="D12" s="364"/>
      <c r="E12" s="364"/>
      <c r="F12" s="364"/>
      <c r="G12" s="364"/>
    </row>
    <row r="13" spans="1:7" x14ac:dyDescent="0.2">
      <c r="A13" s="364"/>
      <c r="B13" s="364"/>
      <c r="C13" s="364"/>
      <c r="D13" s="364"/>
      <c r="E13" s="364"/>
      <c r="F13" s="364"/>
      <c r="G13" s="364"/>
    </row>
    <row r="15" spans="1:7" x14ac:dyDescent="0.2">
      <c r="B15" s="108" t="s">
        <v>422</v>
      </c>
    </row>
    <row r="16" spans="1:7" x14ac:dyDescent="0.2">
      <c r="A16" s="404"/>
      <c r="B16" s="366">
        <v>10</v>
      </c>
      <c r="C16" s="371" t="s">
        <v>83</v>
      </c>
      <c r="D16" s="404"/>
    </row>
    <row r="17" spans="1:8" x14ac:dyDescent="0.2">
      <c r="A17" s="405"/>
      <c r="B17" s="366">
        <v>5</v>
      </c>
      <c r="C17" s="371" t="s">
        <v>423</v>
      </c>
      <c r="D17" s="406"/>
      <c r="F17" s="425"/>
      <c r="G17" s="425"/>
      <c r="H17" s="426"/>
    </row>
    <row r="18" spans="1:8" x14ac:dyDescent="0.2">
      <c r="A18" s="404"/>
      <c r="B18" s="366">
        <v>5</v>
      </c>
      <c r="C18" s="371" t="s">
        <v>424</v>
      </c>
      <c r="D18" s="408"/>
      <c r="F18" s="427"/>
      <c r="G18" s="425"/>
      <c r="H18" s="428"/>
    </row>
    <row r="19" spans="1:8" x14ac:dyDescent="0.2">
      <c r="A19" s="404"/>
      <c r="B19" s="374">
        <f>SUM(B16:B18)</f>
        <v>20</v>
      </c>
      <c r="C19" s="371" t="s">
        <v>425</v>
      </c>
      <c r="D19" s="408"/>
    </row>
    <row r="20" spans="1:8" x14ac:dyDescent="0.2">
      <c r="A20" s="404"/>
      <c r="B20" s="372">
        <f>F9*B19/100</f>
        <v>4870.8875721036638</v>
      </c>
      <c r="C20" s="373" t="s">
        <v>426</v>
      </c>
      <c r="D20" s="408"/>
    </row>
    <row r="21" spans="1:8" x14ac:dyDescent="0.2">
      <c r="A21" s="404"/>
      <c r="B21" s="407"/>
      <c r="C21" s="408"/>
      <c r="D21" s="408"/>
    </row>
    <row r="22" spans="1:8" x14ac:dyDescent="0.2">
      <c r="A22" s="404"/>
      <c r="B22" s="407"/>
      <c r="C22" s="408"/>
      <c r="D22" s="408"/>
    </row>
    <row r="23" spans="1:8" x14ac:dyDescent="0.2">
      <c r="A23" s="404"/>
      <c r="B23" s="404"/>
      <c r="C23" s="404"/>
      <c r="D23" s="408"/>
    </row>
    <row r="24" spans="1:8" x14ac:dyDescent="0.2">
      <c r="A24" s="404"/>
      <c r="B24" s="409"/>
      <c r="C24" s="410"/>
      <c r="D24" s="410"/>
    </row>
    <row r="25" spans="1:8" x14ac:dyDescent="0.2">
      <c r="A25" s="404"/>
      <c r="B25" s="411"/>
      <c r="C25" s="404"/>
      <c r="D25" s="404"/>
    </row>
    <row r="26" spans="1:8" x14ac:dyDescent="0.2">
      <c r="A26" s="404"/>
      <c r="B26" s="411"/>
      <c r="C26" s="404"/>
      <c r="D26" s="404"/>
    </row>
    <row r="27" spans="1:8" x14ac:dyDescent="0.2">
      <c r="A27" s="404"/>
      <c r="B27" s="404"/>
      <c r="C27" s="404"/>
      <c r="D27" s="404"/>
    </row>
  </sheetData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workbookViewId="0"/>
  </sheetViews>
  <sheetFormatPr defaultColWidth="9.140625" defaultRowHeight="12.75" x14ac:dyDescent="0.2"/>
  <cols>
    <col min="1" max="1" width="13.5703125" style="1" customWidth="1"/>
    <col min="2" max="2" width="39.5703125" style="1" bestFit="1" customWidth="1"/>
    <col min="3" max="3" width="20.85546875" style="1" customWidth="1"/>
    <col min="4" max="4" width="37.28515625" style="158" customWidth="1"/>
    <col min="5" max="10" width="9.140625" style="1"/>
    <col min="11" max="11" width="11" style="1" bestFit="1" customWidth="1"/>
    <col min="12" max="16384" width="9.140625" style="1"/>
  </cols>
  <sheetData>
    <row r="1" spans="1:12" x14ac:dyDescent="0.2">
      <c r="A1" s="11" t="s">
        <v>202</v>
      </c>
    </row>
    <row r="2" spans="1:12" x14ac:dyDescent="0.2">
      <c r="A2" s="140" t="s">
        <v>251</v>
      </c>
    </row>
    <row r="3" spans="1:12" s="4" customFormat="1" ht="15.6" customHeight="1" x14ac:dyDescent="0.2">
      <c r="B3" s="139"/>
      <c r="C3" s="139"/>
      <c r="D3" s="139"/>
      <c r="E3" s="139"/>
      <c r="F3" s="139"/>
      <c r="G3" s="6"/>
    </row>
    <row r="4" spans="1:12" s="4" customFormat="1" ht="15.6" hidden="1" customHeight="1" x14ac:dyDescent="0.2">
      <c r="A4" s="305" t="s">
        <v>301</v>
      </c>
      <c r="B4" s="139"/>
      <c r="C4" s="139"/>
      <c r="D4" s="139"/>
      <c r="E4" s="139"/>
      <c r="F4" s="139"/>
      <c r="G4" s="6"/>
    </row>
    <row r="5" spans="1:12" s="4" customFormat="1" ht="16.5" customHeight="1" x14ac:dyDescent="0.2">
      <c r="A5" s="351" t="s">
        <v>321</v>
      </c>
      <c r="B5" s="5"/>
      <c r="C5" s="5"/>
      <c r="D5" s="6"/>
      <c r="E5" s="6"/>
      <c r="F5" s="6"/>
      <c r="G5" s="6"/>
    </row>
    <row r="6" spans="1:12" s="4" customFormat="1" ht="16.5" customHeight="1" x14ac:dyDescent="0.2">
      <c r="A6" s="351" t="s">
        <v>322</v>
      </c>
      <c r="B6" s="5"/>
      <c r="C6" s="5"/>
      <c r="D6" s="6"/>
      <c r="E6" s="6"/>
      <c r="F6" s="6"/>
      <c r="G6" s="6"/>
    </row>
    <row r="7" spans="1:12" ht="13.5" thickBot="1" x14ac:dyDescent="0.25"/>
    <row r="8" spans="1:12" ht="18" x14ac:dyDescent="0.2">
      <c r="A8" s="445" t="s">
        <v>233</v>
      </c>
      <c r="B8" s="446"/>
      <c r="C8" s="447"/>
      <c r="D8" s="150"/>
      <c r="E8" s="150"/>
      <c r="F8" s="150"/>
    </row>
    <row r="9" spans="1:12" ht="14.25" x14ac:dyDescent="0.2">
      <c r="A9" s="169" t="s">
        <v>140</v>
      </c>
      <c r="B9" s="170" t="s">
        <v>141</v>
      </c>
      <c r="C9" s="171" t="s">
        <v>142</v>
      </c>
      <c r="D9" s="172"/>
    </row>
    <row r="10" spans="1:12" ht="14.25" x14ac:dyDescent="0.2">
      <c r="A10" s="169" t="s">
        <v>143</v>
      </c>
      <c r="B10" s="170" t="s">
        <v>43</v>
      </c>
      <c r="C10" s="173">
        <v>0.2</v>
      </c>
      <c r="D10" s="172"/>
      <c r="F10" s="158"/>
      <c r="G10" s="158"/>
      <c r="H10" s="158"/>
      <c r="I10" s="158"/>
      <c r="J10" s="158"/>
      <c r="K10" s="158"/>
      <c r="L10" s="158"/>
    </row>
    <row r="11" spans="1:12" ht="14.25" x14ac:dyDescent="0.2">
      <c r="A11" s="169" t="s">
        <v>144</v>
      </c>
      <c r="B11" s="170" t="s">
        <v>145</v>
      </c>
      <c r="C11" s="173">
        <v>1.4999999999999999E-2</v>
      </c>
      <c r="D11" s="172"/>
      <c r="F11" s="158"/>
      <c r="G11" s="158"/>
      <c r="H11" s="158"/>
      <c r="I11" s="158"/>
      <c r="J11" s="158"/>
      <c r="K11" s="158"/>
      <c r="L11" s="158"/>
    </row>
    <row r="12" spans="1:12" ht="14.25" x14ac:dyDescent="0.2">
      <c r="A12" s="169" t="s">
        <v>146</v>
      </c>
      <c r="B12" s="170" t="s">
        <v>147</v>
      </c>
      <c r="C12" s="173">
        <v>0.01</v>
      </c>
      <c r="D12" s="172"/>
      <c r="F12" s="158"/>
      <c r="G12" s="158"/>
      <c r="H12" s="158"/>
      <c r="I12" s="158"/>
      <c r="J12" s="158"/>
      <c r="K12" s="158"/>
      <c r="L12" s="158"/>
    </row>
    <row r="13" spans="1:12" ht="14.25" x14ac:dyDescent="0.2">
      <c r="A13" s="169" t="s">
        <v>148</v>
      </c>
      <c r="B13" s="170" t="s">
        <v>149</v>
      </c>
      <c r="C13" s="173">
        <v>2E-3</v>
      </c>
      <c r="D13" s="172"/>
      <c r="F13" s="158"/>
      <c r="G13" s="158"/>
      <c r="H13" s="158"/>
      <c r="I13" s="158"/>
      <c r="J13" s="158"/>
      <c r="K13" s="158"/>
      <c r="L13" s="158"/>
    </row>
    <row r="14" spans="1:12" ht="14.25" x14ac:dyDescent="0.2">
      <c r="A14" s="169" t="s">
        <v>150</v>
      </c>
      <c r="B14" s="170" t="s">
        <v>151</v>
      </c>
      <c r="C14" s="173">
        <v>6.0000000000000001E-3</v>
      </c>
      <c r="D14" s="172"/>
      <c r="F14" s="158"/>
      <c r="G14" s="158"/>
      <c r="H14" s="158"/>
      <c r="I14" s="158"/>
      <c r="J14" s="158"/>
      <c r="K14" s="158"/>
      <c r="L14" s="158"/>
    </row>
    <row r="15" spans="1:12" ht="14.25" x14ac:dyDescent="0.2">
      <c r="A15" s="169" t="s">
        <v>152</v>
      </c>
      <c r="B15" s="170" t="s">
        <v>153</v>
      </c>
      <c r="C15" s="173">
        <v>2.5000000000000001E-2</v>
      </c>
      <c r="D15" s="172"/>
      <c r="F15" s="158"/>
      <c r="G15" s="158"/>
      <c r="H15" s="158"/>
      <c r="I15" s="158"/>
      <c r="J15" s="158"/>
      <c r="K15" s="158"/>
      <c r="L15" s="158"/>
    </row>
    <row r="16" spans="1:12" ht="14.25" x14ac:dyDescent="0.2">
      <c r="A16" s="169" t="s">
        <v>154</v>
      </c>
      <c r="B16" s="170" t="s">
        <v>155</v>
      </c>
      <c r="C16" s="173">
        <v>0.03</v>
      </c>
      <c r="D16" s="172"/>
      <c r="F16" s="158"/>
      <c r="G16" s="158"/>
      <c r="H16" s="158"/>
      <c r="I16" s="158"/>
      <c r="J16" s="158"/>
      <c r="K16" s="158"/>
      <c r="L16" s="158"/>
    </row>
    <row r="17" spans="1:12" ht="14.25" x14ac:dyDescent="0.2">
      <c r="A17" s="169" t="s">
        <v>156</v>
      </c>
      <c r="B17" s="170" t="s">
        <v>44</v>
      </c>
      <c r="C17" s="173">
        <v>0.08</v>
      </c>
      <c r="D17" s="174"/>
      <c r="F17" s="158"/>
      <c r="G17" s="158"/>
      <c r="H17" s="158"/>
      <c r="I17" s="158"/>
      <c r="J17" s="158"/>
      <c r="K17" s="158"/>
      <c r="L17" s="158"/>
    </row>
    <row r="18" spans="1:12" ht="15" x14ac:dyDescent="0.2">
      <c r="A18" s="169" t="s">
        <v>157</v>
      </c>
      <c r="B18" s="175" t="s">
        <v>158</v>
      </c>
      <c r="C18" s="176">
        <f>SUM(C10:C17)</f>
        <v>0.36800000000000005</v>
      </c>
      <c r="D18" s="174"/>
      <c r="F18" s="158"/>
      <c r="G18" s="158"/>
      <c r="H18" s="158"/>
      <c r="I18" s="158"/>
      <c r="J18" s="158"/>
      <c r="K18" s="158"/>
      <c r="L18" s="158"/>
    </row>
    <row r="19" spans="1:12" ht="15" x14ac:dyDescent="0.2">
      <c r="A19" s="177"/>
      <c r="B19" s="178"/>
      <c r="C19" s="179"/>
      <c r="D19" s="174"/>
      <c r="F19" s="158"/>
      <c r="G19" s="158"/>
      <c r="H19" s="158"/>
      <c r="I19" s="158"/>
      <c r="J19" s="158"/>
      <c r="K19" s="158"/>
      <c r="L19" s="158"/>
    </row>
    <row r="20" spans="1:12" ht="14.25" x14ac:dyDescent="0.2">
      <c r="A20" s="169" t="s">
        <v>159</v>
      </c>
      <c r="B20" s="180" t="s">
        <v>160</v>
      </c>
      <c r="C20" s="173">
        <f>ROUND(IF('4.CAGED'!C32&gt;24,(1-12/'4.CAGED'!C32)*0.1111,0.1111-C29),4)</f>
        <v>6.5699999999999995E-2</v>
      </c>
      <c r="D20" s="174"/>
      <c r="F20" s="158"/>
      <c r="G20" s="158"/>
      <c r="H20" s="158"/>
      <c r="I20" s="158"/>
      <c r="J20" s="158"/>
      <c r="K20" s="158"/>
      <c r="L20" s="158"/>
    </row>
    <row r="21" spans="1:12" ht="14.25" x14ac:dyDescent="0.2">
      <c r="A21" s="169" t="s">
        <v>161</v>
      </c>
      <c r="B21" s="180" t="s">
        <v>162</v>
      </c>
      <c r="C21" s="173">
        <f>ROUND('4.CAGED'!C36/'4.CAGED'!C33,4)</f>
        <v>8.3299999999999999E-2</v>
      </c>
      <c r="D21" s="174"/>
      <c r="F21" s="158"/>
      <c r="G21" s="158"/>
      <c r="H21" s="158"/>
      <c r="I21" s="158"/>
      <c r="J21" s="158"/>
      <c r="K21" s="158"/>
      <c r="L21" s="158"/>
    </row>
    <row r="22" spans="1:12" ht="14.25" x14ac:dyDescent="0.2">
      <c r="A22" s="169" t="s">
        <v>222</v>
      </c>
      <c r="B22" s="180" t="s">
        <v>164</v>
      </c>
      <c r="C22" s="173">
        <v>5.9999999999999995E-4</v>
      </c>
      <c r="D22" s="174"/>
      <c r="F22" s="158"/>
      <c r="G22" s="158"/>
      <c r="H22" s="158"/>
      <c r="I22" s="158"/>
      <c r="J22" s="158"/>
      <c r="K22" s="158"/>
      <c r="L22" s="158"/>
    </row>
    <row r="23" spans="1:12" ht="14.25" x14ac:dyDescent="0.2">
      <c r="A23" s="169" t="s">
        <v>163</v>
      </c>
      <c r="B23" s="180" t="s">
        <v>166</v>
      </c>
      <c r="C23" s="173">
        <v>8.2000000000000007E-3</v>
      </c>
      <c r="D23" s="174"/>
      <c r="F23" s="158"/>
      <c r="G23" s="158"/>
      <c r="H23" s="158"/>
      <c r="I23" s="158"/>
      <c r="J23" s="158"/>
      <c r="K23" s="158"/>
      <c r="L23" s="158"/>
    </row>
    <row r="24" spans="1:12" ht="14.25" x14ac:dyDescent="0.2">
      <c r="A24" s="169" t="s">
        <v>165</v>
      </c>
      <c r="B24" s="180" t="s">
        <v>168</v>
      </c>
      <c r="C24" s="173">
        <v>3.0999999999999999E-3</v>
      </c>
      <c r="D24" s="174"/>
      <c r="F24" s="158"/>
      <c r="G24" s="158"/>
      <c r="H24" s="158"/>
      <c r="I24" s="158"/>
      <c r="J24" s="158"/>
      <c r="K24" s="158"/>
      <c r="L24" s="158"/>
    </row>
    <row r="25" spans="1:12" ht="14.25" x14ac:dyDescent="0.2">
      <c r="A25" s="169" t="s">
        <v>167</v>
      </c>
      <c r="B25" s="180" t="s">
        <v>169</v>
      </c>
      <c r="C25" s="173">
        <v>1.66E-2</v>
      </c>
      <c r="D25" s="174"/>
      <c r="F25" s="158"/>
      <c r="G25" s="158"/>
      <c r="H25" s="158"/>
      <c r="I25" s="158"/>
      <c r="J25" s="158"/>
      <c r="K25" s="158"/>
      <c r="L25" s="158"/>
    </row>
    <row r="26" spans="1:12" ht="15" x14ac:dyDescent="0.2">
      <c r="A26" s="169" t="s">
        <v>170</v>
      </c>
      <c r="B26" s="175" t="s">
        <v>171</v>
      </c>
      <c r="C26" s="176">
        <f>SUM(C20:C25)</f>
        <v>0.17749999999999999</v>
      </c>
      <c r="D26" s="181"/>
      <c r="F26" s="158"/>
      <c r="G26" s="158"/>
      <c r="H26" s="158"/>
      <c r="I26" s="158"/>
      <c r="J26" s="158"/>
      <c r="K26" s="158"/>
      <c r="L26" s="158"/>
    </row>
    <row r="27" spans="1:12" ht="15" x14ac:dyDescent="0.2">
      <c r="A27" s="177"/>
      <c r="B27" s="178"/>
      <c r="C27" s="179"/>
      <c r="D27" s="181"/>
      <c r="F27" s="158"/>
      <c r="G27" s="158"/>
      <c r="H27" s="158"/>
      <c r="I27" s="158"/>
      <c r="J27" s="158"/>
      <c r="K27" s="158"/>
      <c r="L27" s="158"/>
    </row>
    <row r="28" spans="1:12" ht="14.25" x14ac:dyDescent="0.2">
      <c r="A28" s="169" t="s">
        <v>172</v>
      </c>
      <c r="B28" s="170" t="s">
        <v>173</v>
      </c>
      <c r="C28" s="173">
        <f>ROUND(('4.CAGED'!C37) *'4.CAGED'!C30/'4.CAGED'!C33,4)</f>
        <v>2.9000000000000001E-2</v>
      </c>
      <c r="D28" s="174"/>
      <c r="E28" s="182"/>
      <c r="F28" s="158"/>
      <c r="G28" s="158"/>
      <c r="H28" s="158"/>
      <c r="I28" s="158"/>
      <c r="J28" s="158"/>
      <c r="K28" s="158"/>
      <c r="L28" s="158"/>
    </row>
    <row r="29" spans="1:12" ht="14.25" x14ac:dyDescent="0.2">
      <c r="A29" s="169" t="s">
        <v>221</v>
      </c>
      <c r="B29" s="170" t="s">
        <v>175</v>
      </c>
      <c r="C29" s="173">
        <f>ROUND(IF('4.CAGED'!C32&gt;12,12/'4.CAGED'!C32*0.1111,0.1111),4)</f>
        <v>4.5400000000000003E-2</v>
      </c>
      <c r="D29" s="174"/>
      <c r="F29" s="158"/>
      <c r="G29" s="158"/>
      <c r="H29" s="183"/>
      <c r="I29" s="158"/>
      <c r="J29" s="158"/>
      <c r="K29" s="158"/>
      <c r="L29" s="158"/>
    </row>
    <row r="30" spans="1:12" ht="14.25" x14ac:dyDescent="0.2">
      <c r="A30" s="169" t="s">
        <v>174</v>
      </c>
      <c r="B30" s="170" t="s">
        <v>177</v>
      </c>
      <c r="C30" s="173">
        <f>C28*C29</f>
        <v>1.3166000000000002E-3</v>
      </c>
      <c r="D30" s="174"/>
      <c r="E30" s="182"/>
      <c r="F30" s="158"/>
      <c r="G30" s="158"/>
      <c r="H30" s="158"/>
      <c r="I30" s="158"/>
      <c r="J30" s="158"/>
      <c r="K30" s="158"/>
      <c r="L30" s="158"/>
    </row>
    <row r="31" spans="1:12" ht="14.25" x14ac:dyDescent="0.2">
      <c r="A31" s="169" t="s">
        <v>176</v>
      </c>
      <c r="B31" s="170" t="s">
        <v>179</v>
      </c>
      <c r="C31" s="173">
        <f>ROUND(('4.CAGED'!C33+'4.CAGED'!C34+'4.CAGED'!C36)/'4.CAGED'!C31*'4.CAGED'!C38*'4.CAGED'!C39*'4.CAGED'!C30/'4.CAGED'!C33,4)</f>
        <v>3.15E-2</v>
      </c>
      <c r="D31" s="174"/>
      <c r="F31" s="158"/>
      <c r="G31" s="184"/>
      <c r="H31" s="158"/>
      <c r="I31" s="158"/>
      <c r="J31" s="158"/>
      <c r="K31" s="158"/>
      <c r="L31" s="158"/>
    </row>
    <row r="32" spans="1:12" ht="14.25" x14ac:dyDescent="0.2">
      <c r="A32" s="169" t="s">
        <v>178</v>
      </c>
      <c r="B32" s="170" t="s">
        <v>180</v>
      </c>
      <c r="C32" s="173">
        <f>ROUND(('4.CAGED'!C35/'4.CAGED'!C33)*'4.CAGED'!C30/12,4)</f>
        <v>2E-3</v>
      </c>
      <c r="D32" s="174"/>
      <c r="F32" s="158"/>
      <c r="G32" s="158"/>
      <c r="H32" s="158"/>
      <c r="I32" s="158"/>
      <c r="J32" s="158"/>
      <c r="K32" s="158"/>
      <c r="L32" s="158"/>
    </row>
    <row r="33" spans="1:12" ht="15" x14ac:dyDescent="0.2">
      <c r="A33" s="169" t="s">
        <v>181</v>
      </c>
      <c r="B33" s="175" t="s">
        <v>182</v>
      </c>
      <c r="C33" s="176">
        <f>SUM(C28:C32)</f>
        <v>0.10921660000000001</v>
      </c>
      <c r="D33" s="181"/>
      <c r="F33" s="158"/>
      <c r="G33" s="158"/>
      <c r="H33" s="158"/>
      <c r="I33" s="158"/>
      <c r="J33" s="158"/>
      <c r="K33" s="158"/>
      <c r="L33" s="158"/>
    </row>
    <row r="34" spans="1:12" ht="15" x14ac:dyDescent="0.2">
      <c r="A34" s="177"/>
      <c r="B34" s="178"/>
      <c r="C34" s="179"/>
      <c r="D34" s="181"/>
      <c r="F34" s="158"/>
      <c r="G34" s="158"/>
      <c r="H34" s="158"/>
      <c r="I34" s="158"/>
      <c r="J34" s="158"/>
      <c r="K34" s="158"/>
      <c r="L34" s="158"/>
    </row>
    <row r="35" spans="1:12" ht="14.25" x14ac:dyDescent="0.2">
      <c r="A35" s="169" t="s">
        <v>183</v>
      </c>
      <c r="B35" s="170" t="s">
        <v>184</v>
      </c>
      <c r="C35" s="173">
        <f>ROUND(C18*C26,4)</f>
        <v>6.5299999999999997E-2</v>
      </c>
      <c r="D35" s="174"/>
      <c r="F35" s="158"/>
      <c r="G35" s="158"/>
      <c r="H35" s="158"/>
      <c r="I35" s="158"/>
      <c r="J35" s="158"/>
      <c r="K35" s="158"/>
      <c r="L35" s="158"/>
    </row>
    <row r="36" spans="1:12" ht="28.5" x14ac:dyDescent="0.2">
      <c r="A36" s="169" t="s">
        <v>185</v>
      </c>
      <c r="B36" s="185" t="s">
        <v>297</v>
      </c>
      <c r="C36" s="173">
        <f>ROUND((C28*C17),4)</f>
        <v>2.3E-3</v>
      </c>
      <c r="D36" s="174"/>
      <c r="F36" s="158"/>
      <c r="G36" s="158"/>
      <c r="H36" s="158"/>
      <c r="I36" s="158"/>
      <c r="J36" s="158"/>
      <c r="K36" s="158"/>
      <c r="L36" s="158"/>
    </row>
    <row r="37" spans="1:12" ht="15" x14ac:dyDescent="0.2">
      <c r="A37" s="169" t="s">
        <v>186</v>
      </c>
      <c r="B37" s="175" t="s">
        <v>187</v>
      </c>
      <c r="C37" s="176">
        <f>SUM(C35:C36)</f>
        <v>6.7599999999999993E-2</v>
      </c>
      <c r="D37" s="186"/>
      <c r="F37" s="158"/>
      <c r="G37" s="158"/>
      <c r="H37" s="158"/>
      <c r="I37" s="158"/>
      <c r="J37" s="158"/>
      <c r="K37" s="158"/>
      <c r="L37" s="158"/>
    </row>
    <row r="38" spans="1:12" ht="15.75" thickBot="1" x14ac:dyDescent="0.25">
      <c r="A38" s="187"/>
      <c r="B38" s="188" t="s">
        <v>188</v>
      </c>
      <c r="C38" s="189">
        <f>C37+C33+C26+C18</f>
        <v>0.72231660000000009</v>
      </c>
      <c r="D38" s="186"/>
      <c r="F38" s="158"/>
      <c r="G38" s="158"/>
      <c r="H38" s="158"/>
      <c r="I38" s="158"/>
      <c r="J38" s="158"/>
      <c r="K38" s="158"/>
      <c r="L38" s="158"/>
    </row>
    <row r="39" spans="1:12" ht="15" x14ac:dyDescent="0.2">
      <c r="A39" s="174"/>
      <c r="B39" s="190"/>
      <c r="C39" s="191"/>
      <c r="D39" s="192"/>
      <c r="F39" s="158"/>
      <c r="G39" s="158"/>
      <c r="H39" s="158"/>
      <c r="I39" s="158"/>
      <c r="J39" s="158"/>
      <c r="K39" s="158"/>
      <c r="L39" s="158"/>
    </row>
    <row r="40" spans="1:12" ht="14.25" x14ac:dyDescent="0.2">
      <c r="A40" s="174"/>
      <c r="B40" s="174"/>
      <c r="C40" s="193"/>
      <c r="D40" s="194"/>
      <c r="F40" s="158"/>
      <c r="G40" s="158"/>
      <c r="H40" s="158"/>
      <c r="I40" s="158"/>
      <c r="J40" s="158"/>
      <c r="K40" s="158"/>
      <c r="L40" s="158"/>
    </row>
    <row r="41" spans="1:12" ht="14.25" x14ac:dyDescent="0.2">
      <c r="A41" s="172"/>
      <c r="B41" s="172"/>
      <c r="C41" s="195"/>
      <c r="D41" s="172"/>
      <c r="F41" s="158"/>
      <c r="G41" s="158"/>
      <c r="H41" s="158"/>
      <c r="I41" s="158"/>
      <c r="J41" s="158"/>
      <c r="K41" s="158"/>
      <c r="L41" s="158"/>
    </row>
    <row r="42" spans="1:12" ht="14.25" x14ac:dyDescent="0.2">
      <c r="A42" s="172"/>
      <c r="B42" s="172"/>
      <c r="C42" s="195"/>
      <c r="D42" s="172"/>
      <c r="F42" s="158"/>
      <c r="G42" s="158"/>
      <c r="H42" s="158"/>
      <c r="I42" s="158"/>
      <c r="J42" s="158"/>
      <c r="K42" s="158"/>
      <c r="L42" s="158"/>
    </row>
    <row r="43" spans="1:12" ht="14.25" x14ac:dyDescent="0.2">
      <c r="A43" s="172"/>
      <c r="B43" s="172"/>
      <c r="C43" s="195"/>
      <c r="D43" s="172"/>
      <c r="F43" s="158"/>
      <c r="G43" s="158"/>
      <c r="H43" s="158"/>
      <c r="I43" s="158"/>
      <c r="J43" s="158"/>
      <c r="K43" s="158"/>
      <c r="L43" s="158"/>
    </row>
    <row r="44" spans="1:12" ht="15" x14ac:dyDescent="0.2">
      <c r="A44" s="172"/>
      <c r="B44" s="196"/>
      <c r="C44" s="197"/>
      <c r="D44" s="172"/>
      <c r="F44" s="158"/>
      <c r="G44" s="158"/>
      <c r="H44" s="158"/>
      <c r="I44" s="158"/>
      <c r="J44" s="158"/>
      <c r="K44" s="158"/>
      <c r="L44" s="158"/>
    </row>
    <row r="45" spans="1:12" ht="15" x14ac:dyDescent="0.2">
      <c r="A45" s="186"/>
      <c r="B45" s="196"/>
      <c r="C45" s="197"/>
      <c r="D45" s="186"/>
      <c r="E45" s="158"/>
      <c r="F45" s="158"/>
      <c r="G45" s="158"/>
      <c r="H45" s="158"/>
      <c r="I45" s="158"/>
      <c r="J45" s="158"/>
      <c r="K45" s="158"/>
      <c r="L45" s="158"/>
    </row>
    <row r="46" spans="1:12" ht="16.5" x14ac:dyDescent="0.2">
      <c r="A46" s="198"/>
      <c r="B46" s="158"/>
      <c r="C46" s="158"/>
      <c r="E46" s="158"/>
      <c r="F46" s="158"/>
      <c r="G46" s="158"/>
      <c r="H46" s="158"/>
      <c r="I46" s="158"/>
      <c r="J46" s="158"/>
      <c r="K46" s="158"/>
      <c r="L46" s="158"/>
    </row>
    <row r="47" spans="1:12" x14ac:dyDescent="0.2">
      <c r="A47" s="199"/>
      <c r="B47" s="200"/>
      <c r="C47" s="200"/>
      <c r="E47" s="158"/>
      <c r="F47" s="158"/>
      <c r="G47" s="158"/>
      <c r="H47" s="158"/>
      <c r="I47" s="158"/>
      <c r="J47" s="158"/>
      <c r="K47" s="158"/>
      <c r="L47" s="158"/>
    </row>
    <row r="48" spans="1:12" ht="14.25" x14ac:dyDescent="0.2">
      <c r="A48" s="172"/>
      <c r="B48" s="201"/>
      <c r="C48" s="200"/>
      <c r="E48" s="158"/>
      <c r="F48" s="158"/>
      <c r="G48" s="158"/>
      <c r="H48" s="158"/>
      <c r="I48" s="158"/>
      <c r="J48" s="158"/>
      <c r="K48" s="158"/>
      <c r="L48" s="158"/>
    </row>
    <row r="49" spans="1:12" ht="14.25" x14ac:dyDescent="0.2">
      <c r="A49" s="172"/>
      <c r="B49" s="201"/>
      <c r="C49" s="172"/>
      <c r="E49" s="158"/>
      <c r="F49" s="158"/>
      <c r="G49" s="158"/>
      <c r="H49" s="158"/>
      <c r="I49" s="158"/>
      <c r="J49" s="158"/>
      <c r="K49" s="158"/>
      <c r="L49" s="158"/>
    </row>
    <row r="50" spans="1:12" ht="14.25" x14ac:dyDescent="0.2">
      <c r="A50" s="172"/>
      <c r="B50" s="195"/>
      <c r="C50" s="200"/>
      <c r="E50" s="158"/>
      <c r="F50" s="158"/>
      <c r="G50" s="158"/>
      <c r="H50" s="158"/>
      <c r="I50" s="158"/>
      <c r="J50" s="158"/>
      <c r="K50" s="158"/>
      <c r="L50" s="158"/>
    </row>
    <row r="51" spans="1:12" ht="14.25" x14ac:dyDescent="0.2">
      <c r="A51" s="172"/>
      <c r="B51" s="201"/>
      <c r="C51" s="172"/>
      <c r="E51" s="158"/>
      <c r="F51" s="158"/>
      <c r="G51" s="158"/>
      <c r="H51" s="158"/>
      <c r="I51" s="158"/>
      <c r="J51" s="158"/>
      <c r="K51" s="158"/>
      <c r="L51" s="158"/>
    </row>
    <row r="52" spans="1:12" ht="14.25" x14ac:dyDescent="0.2">
      <c r="A52" s="172"/>
      <c r="B52" s="195"/>
      <c r="C52" s="200"/>
      <c r="E52" s="158"/>
      <c r="F52" s="158"/>
      <c r="G52" s="158"/>
      <c r="H52" s="158"/>
      <c r="I52" s="158"/>
      <c r="J52" s="158"/>
      <c r="K52" s="158"/>
      <c r="L52" s="158"/>
    </row>
    <row r="53" spans="1:12" ht="14.25" x14ac:dyDescent="0.2">
      <c r="A53" s="172"/>
      <c r="B53" s="201"/>
      <c r="C53" s="172"/>
      <c r="E53" s="158"/>
      <c r="F53" s="158"/>
      <c r="G53" s="158"/>
      <c r="H53" s="158"/>
      <c r="I53" s="158"/>
      <c r="J53" s="158"/>
      <c r="K53" s="158"/>
      <c r="L53" s="158"/>
    </row>
    <row r="54" spans="1:12" ht="14.25" x14ac:dyDescent="0.2">
      <c r="A54" s="172"/>
      <c r="B54" s="195"/>
      <c r="C54" s="200"/>
      <c r="E54" s="158"/>
      <c r="F54" s="158"/>
      <c r="G54" s="158"/>
      <c r="H54" s="158"/>
      <c r="I54" s="158"/>
      <c r="J54" s="158"/>
      <c r="K54" s="158"/>
      <c r="L54" s="158"/>
    </row>
    <row r="55" spans="1:12" ht="14.25" x14ac:dyDescent="0.2">
      <c r="A55" s="172"/>
      <c r="B55" s="201"/>
      <c r="C55" s="172"/>
      <c r="E55" s="158"/>
      <c r="F55" s="158"/>
      <c r="G55" s="158"/>
      <c r="H55" s="158"/>
      <c r="I55" s="158"/>
      <c r="J55" s="158"/>
      <c r="K55" s="158"/>
      <c r="L55" s="158"/>
    </row>
    <row r="56" spans="1:12" ht="14.25" x14ac:dyDescent="0.2">
      <c r="A56" s="172"/>
      <c r="B56" s="195"/>
      <c r="C56" s="200"/>
      <c r="E56" s="158"/>
      <c r="F56" s="158"/>
      <c r="G56" s="158"/>
      <c r="H56" s="158"/>
      <c r="I56" s="158"/>
      <c r="J56" s="158"/>
      <c r="K56" s="158"/>
      <c r="L56" s="158"/>
    </row>
    <row r="57" spans="1:12" ht="16.5" x14ac:dyDescent="0.2">
      <c r="A57" s="198"/>
      <c r="B57" s="158"/>
      <c r="C57" s="158"/>
      <c r="E57" s="158"/>
      <c r="F57" s="158"/>
      <c r="G57" s="158"/>
      <c r="H57" s="158"/>
      <c r="I57" s="158"/>
      <c r="J57" s="158"/>
      <c r="K57" s="158"/>
      <c r="L57" s="158"/>
    </row>
    <row r="58" spans="1:12" x14ac:dyDescent="0.2">
      <c r="A58" s="158"/>
      <c r="B58" s="158"/>
      <c r="C58" s="158"/>
      <c r="E58" s="158"/>
      <c r="F58" s="158"/>
      <c r="G58" s="158"/>
      <c r="H58" s="158"/>
      <c r="I58" s="158"/>
      <c r="J58" s="158"/>
      <c r="K58" s="158"/>
      <c r="L58" s="158"/>
    </row>
    <row r="59" spans="1:12" x14ac:dyDescent="0.2">
      <c r="A59" s="158"/>
      <c r="B59" s="158"/>
      <c r="C59" s="158"/>
      <c r="E59" s="158"/>
      <c r="F59" s="158"/>
      <c r="G59" s="158"/>
      <c r="H59" s="158"/>
      <c r="I59" s="158"/>
      <c r="J59" s="158"/>
      <c r="K59" s="158"/>
      <c r="L59" s="158"/>
    </row>
    <row r="60" spans="1:12" x14ac:dyDescent="0.2">
      <c r="A60" s="202"/>
      <c r="B60" s="158"/>
      <c r="C60" s="158"/>
      <c r="E60" s="158"/>
      <c r="F60" s="158"/>
      <c r="G60" s="158"/>
      <c r="H60" s="158"/>
      <c r="I60" s="158"/>
      <c r="J60" s="158"/>
      <c r="K60" s="158"/>
      <c r="L60" s="158"/>
    </row>
    <row r="61" spans="1:12" x14ac:dyDescent="0.2">
      <c r="A61" s="158"/>
      <c r="B61" s="158"/>
      <c r="C61" s="158"/>
      <c r="E61" s="158"/>
    </row>
    <row r="62" spans="1:12" x14ac:dyDescent="0.2">
      <c r="A62" s="158"/>
      <c r="B62" s="158"/>
      <c r="C62" s="158"/>
      <c r="E62" s="158"/>
    </row>
    <row r="63" spans="1:12" x14ac:dyDescent="0.2">
      <c r="A63" s="158"/>
      <c r="B63" s="158"/>
      <c r="C63" s="158"/>
      <c r="E63" s="158"/>
    </row>
    <row r="64" spans="1:12" x14ac:dyDescent="0.2">
      <c r="A64" s="158"/>
      <c r="B64" s="158"/>
      <c r="C64" s="158"/>
      <c r="E64" s="158"/>
    </row>
    <row r="65" spans="1:5" x14ac:dyDescent="0.2">
      <c r="A65" s="158"/>
      <c r="B65" s="158"/>
      <c r="C65" s="158"/>
      <c r="E65" s="158"/>
    </row>
    <row r="66" spans="1:5" x14ac:dyDescent="0.2">
      <c r="A66" s="158"/>
      <c r="B66" s="158"/>
      <c r="C66" s="158"/>
      <c r="E66" s="158"/>
    </row>
    <row r="67" spans="1:5" x14ac:dyDescent="0.2">
      <c r="A67" s="158"/>
      <c r="B67" s="158"/>
      <c r="C67" s="158"/>
      <c r="E67" s="158"/>
    </row>
    <row r="68" spans="1:5" x14ac:dyDescent="0.2">
      <c r="A68" s="158"/>
      <c r="B68" s="158"/>
      <c r="C68" s="158"/>
      <c r="E68" s="158"/>
    </row>
    <row r="69" spans="1:5" x14ac:dyDescent="0.2">
      <c r="A69" s="158"/>
      <c r="B69" s="158"/>
      <c r="C69" s="158"/>
      <c r="E69" s="158"/>
    </row>
  </sheetData>
  <mergeCells count="1">
    <mergeCell ref="A8:C8"/>
  </mergeCells>
  <pageMargins left="0.90551181102362199" right="0.51181102362204722" top="0.74803149606299213" bottom="0.74803149606299213" header="0.31496062992125984" footer="0.31496062992125984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activeCell="C196" sqref="C196"/>
    </sheetView>
  </sheetViews>
  <sheetFormatPr defaultColWidth="9.140625" defaultRowHeight="12.75" x14ac:dyDescent="0.2"/>
  <cols>
    <col min="1" max="1" width="8.5703125" style="1" customWidth="1"/>
    <col min="2" max="2" width="67.140625" style="1" customWidth="1"/>
    <col min="3" max="3" width="13.7109375" style="1" customWidth="1"/>
    <col min="4" max="4" width="10.28515625" style="1" customWidth="1"/>
    <col min="5" max="5" width="13.7109375" style="1" customWidth="1"/>
    <col min="6" max="16384" width="9.140625" style="1"/>
  </cols>
  <sheetData>
    <row r="1" spans="1:3" x14ac:dyDescent="0.2">
      <c r="A1" s="108" t="s">
        <v>245</v>
      </c>
    </row>
    <row r="3" spans="1:3" x14ac:dyDescent="0.2">
      <c r="A3" s="1" t="s">
        <v>210</v>
      </c>
    </row>
    <row r="4" spans="1:3" x14ac:dyDescent="0.2">
      <c r="A4" s="278" t="s">
        <v>206</v>
      </c>
    </row>
    <row r="5" spans="1:3" ht="25.5" customHeight="1" x14ac:dyDescent="0.2">
      <c r="A5" s="451" t="s">
        <v>260</v>
      </c>
      <c r="B5" s="450"/>
      <c r="C5" s="450"/>
    </row>
    <row r="6" spans="1:3" x14ac:dyDescent="0.2">
      <c r="A6" s="1" t="s">
        <v>207</v>
      </c>
    </row>
    <row r="7" spans="1:3" ht="26.25" customHeight="1" x14ac:dyDescent="0.2">
      <c r="A7" s="450" t="s">
        <v>208</v>
      </c>
      <c r="B7" s="450"/>
      <c r="C7" s="450"/>
    </row>
    <row r="8" spans="1:3" x14ac:dyDescent="0.2">
      <c r="A8" s="1" t="s">
        <v>209</v>
      </c>
    </row>
    <row r="9" spans="1:3" x14ac:dyDescent="0.2">
      <c r="A9" s="307" t="s">
        <v>246</v>
      </c>
    </row>
    <row r="10" spans="1:3" ht="13.5" thickBot="1" x14ac:dyDescent="0.25"/>
    <row r="11" spans="1:3" ht="18" x14ac:dyDescent="0.25">
      <c r="B11" s="448" t="s">
        <v>231</v>
      </c>
      <c r="C11" s="449"/>
    </row>
    <row r="12" spans="1:3" ht="15" x14ac:dyDescent="0.25">
      <c r="A12" s="158"/>
      <c r="B12" s="157" t="s">
        <v>205</v>
      </c>
      <c r="C12" s="203"/>
    </row>
    <row r="13" spans="1:3" ht="15" x14ac:dyDescent="0.25">
      <c r="A13" s="158"/>
      <c r="B13" s="159" t="s">
        <v>124</v>
      </c>
      <c r="C13" s="160">
        <v>1932</v>
      </c>
    </row>
    <row r="14" spans="1:3" ht="15" x14ac:dyDescent="0.25">
      <c r="A14" s="158"/>
      <c r="B14" s="161" t="s">
        <v>125</v>
      </c>
      <c r="C14" s="160">
        <v>2197</v>
      </c>
    </row>
    <row r="15" spans="1:3" ht="14.25" x14ac:dyDescent="0.2">
      <c r="A15" s="158"/>
      <c r="B15" s="204" t="s">
        <v>126</v>
      </c>
      <c r="C15" s="205">
        <v>25</v>
      </c>
    </row>
    <row r="16" spans="1:3" ht="14.25" x14ac:dyDescent="0.2">
      <c r="A16" s="158"/>
      <c r="B16" s="204" t="s">
        <v>127</v>
      </c>
      <c r="C16" s="205">
        <v>1463</v>
      </c>
    </row>
    <row r="17" spans="1:5" ht="14.25" x14ac:dyDescent="0.2">
      <c r="A17" s="158"/>
      <c r="B17" s="204" t="s">
        <v>128</v>
      </c>
      <c r="C17" s="205">
        <v>321</v>
      </c>
    </row>
    <row r="18" spans="1:5" ht="14.25" x14ac:dyDescent="0.2">
      <c r="A18" s="158"/>
      <c r="B18" s="204" t="s">
        <v>129</v>
      </c>
      <c r="C18" s="205">
        <v>12</v>
      </c>
    </row>
    <row r="19" spans="1:5" ht="14.25" x14ac:dyDescent="0.2">
      <c r="A19" s="158"/>
      <c r="B19" s="204" t="s">
        <v>130</v>
      </c>
      <c r="C19" s="205">
        <v>339</v>
      </c>
    </row>
    <row r="20" spans="1:5" ht="14.25" x14ac:dyDescent="0.2">
      <c r="A20" s="158"/>
      <c r="B20" s="204" t="s">
        <v>131</v>
      </c>
      <c r="C20" s="205">
        <v>0</v>
      </c>
    </row>
    <row r="21" spans="1:5" ht="14.25" x14ac:dyDescent="0.2">
      <c r="A21" s="158"/>
      <c r="B21" s="204" t="s">
        <v>132</v>
      </c>
      <c r="C21" s="205">
        <v>22</v>
      </c>
    </row>
    <row r="22" spans="1:5" ht="14.25" x14ac:dyDescent="0.2">
      <c r="A22" s="158"/>
      <c r="B22" s="206" t="s">
        <v>133</v>
      </c>
      <c r="C22" s="207">
        <v>0</v>
      </c>
    </row>
    <row r="23" spans="1:5" ht="14.25" x14ac:dyDescent="0.2">
      <c r="A23" s="158"/>
      <c r="B23" s="313" t="s">
        <v>304</v>
      </c>
      <c r="C23" s="207">
        <v>0</v>
      </c>
    </row>
    <row r="24" spans="1:5" ht="15" x14ac:dyDescent="0.25">
      <c r="A24" s="158" t="s">
        <v>134</v>
      </c>
      <c r="B24" s="157" t="s">
        <v>135</v>
      </c>
      <c r="C24" s="203"/>
    </row>
    <row r="25" spans="1:5" ht="14.25" x14ac:dyDescent="0.2">
      <c r="A25" s="158"/>
      <c r="B25" s="208" t="s">
        <v>305</v>
      </c>
      <c r="C25" s="209">
        <v>5183</v>
      </c>
    </row>
    <row r="26" spans="1:5" ht="14.25" x14ac:dyDescent="0.2">
      <c r="A26" s="158"/>
      <c r="B26" s="204" t="s">
        <v>306</v>
      </c>
      <c r="C26" s="205">
        <v>4918</v>
      </c>
    </row>
    <row r="27" spans="1:5" ht="14.25" x14ac:dyDescent="0.2">
      <c r="B27" s="204" t="s">
        <v>307</v>
      </c>
      <c r="C27" s="306">
        <f>C13-C14</f>
        <v>-265</v>
      </c>
    </row>
    <row r="28" spans="1:5" ht="14.25" x14ac:dyDescent="0.2">
      <c r="B28" s="210"/>
      <c r="C28" s="211"/>
    </row>
    <row r="29" spans="1:5" s="108" customFormat="1" ht="15" x14ac:dyDescent="0.25">
      <c r="B29" s="159" t="s">
        <v>137</v>
      </c>
      <c r="C29" s="212">
        <f>MEDIAN(C25,C26)</f>
        <v>5050.5</v>
      </c>
    </row>
    <row r="30" spans="1:5" ht="15" x14ac:dyDescent="0.25">
      <c r="B30" s="161" t="s">
        <v>302</v>
      </c>
      <c r="C30" s="311">
        <f>C16/C29</f>
        <v>0.28967428967428965</v>
      </c>
    </row>
    <row r="31" spans="1:5" ht="15" x14ac:dyDescent="0.25">
      <c r="B31" s="161" t="s">
        <v>303</v>
      </c>
      <c r="C31" s="311">
        <f>MEDIAN(C13,C14)/C29</f>
        <v>0.40877140877140877</v>
      </c>
      <c r="E31" s="278"/>
    </row>
    <row r="32" spans="1:5" s="108" customFormat="1" ht="15" x14ac:dyDescent="0.25">
      <c r="B32" s="161" t="s">
        <v>252</v>
      </c>
      <c r="C32" s="309">
        <f>12/C31</f>
        <v>29.356260595785905</v>
      </c>
    </row>
    <row r="33" spans="2:3" ht="15" x14ac:dyDescent="0.25">
      <c r="B33" s="161" t="s">
        <v>136</v>
      </c>
      <c r="C33" s="163">
        <v>360</v>
      </c>
    </row>
    <row r="34" spans="2:3" ht="15" x14ac:dyDescent="0.25">
      <c r="B34" s="161" t="s">
        <v>247</v>
      </c>
      <c r="C34" s="163">
        <v>10</v>
      </c>
    </row>
    <row r="35" spans="2:3" ht="15" x14ac:dyDescent="0.25">
      <c r="B35" s="159" t="s">
        <v>248</v>
      </c>
      <c r="C35" s="162">
        <v>30</v>
      </c>
    </row>
    <row r="36" spans="2:3" ht="15" x14ac:dyDescent="0.25">
      <c r="B36" s="159" t="s">
        <v>249</v>
      </c>
      <c r="C36" s="162">
        <v>30</v>
      </c>
    </row>
    <row r="37" spans="2:3" s="108" customFormat="1" ht="15" x14ac:dyDescent="0.25">
      <c r="B37" s="159" t="s">
        <v>139</v>
      </c>
      <c r="C37" s="162">
        <f>30+(3*TRUNC(1/C31))</f>
        <v>36</v>
      </c>
    </row>
    <row r="38" spans="2:3" s="108" customFormat="1" ht="15" x14ac:dyDescent="0.25">
      <c r="B38" s="161" t="s">
        <v>44</v>
      </c>
      <c r="C38" s="310">
        <v>0.08</v>
      </c>
    </row>
    <row r="39" spans="2:3" s="108" customFormat="1" ht="15.75" thickBot="1" x14ac:dyDescent="0.3">
      <c r="B39" s="164" t="s">
        <v>138</v>
      </c>
      <c r="C39" s="312">
        <v>0.5</v>
      </c>
    </row>
  </sheetData>
  <mergeCells count="3">
    <mergeCell ref="B11:C11"/>
    <mergeCell ref="A7:C7"/>
    <mergeCell ref="A5:C5"/>
  </mergeCells>
  <pageMargins left="0.90551181102362199" right="0.51181102362204722" top="0.74803149606299213" bottom="0.74803149606299213" header="0.31496062992125984" footer="0.31496062992125984"/>
  <pageSetup paperSize="9" scale="98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5"/>
  <sheetViews>
    <sheetView workbookViewId="0">
      <selection activeCell="A24" sqref="A24"/>
    </sheetView>
  </sheetViews>
  <sheetFormatPr defaultRowHeight="12.75" x14ac:dyDescent="0.2"/>
  <cols>
    <col min="1" max="1" width="41.85546875" bestFit="1" customWidth="1"/>
    <col min="2" max="2" width="5.5703125" bestFit="1" customWidth="1"/>
    <col min="4" max="4" width="9.7109375" bestFit="1" customWidth="1"/>
    <col min="5" max="5" width="8" style="122" bestFit="1" customWidth="1"/>
    <col min="6" max="6" width="9.7109375" bestFit="1" customWidth="1"/>
  </cols>
  <sheetData>
    <row r="1" spans="1:8" s="147" customFormat="1" ht="14.25" x14ac:dyDescent="0.2">
      <c r="A1" s="11" t="s">
        <v>202</v>
      </c>
      <c r="B1" s="145"/>
      <c r="C1" s="145"/>
      <c r="E1" s="148"/>
    </row>
    <row r="2" spans="1:8" s="147" customFormat="1" ht="14.25" x14ac:dyDescent="0.2">
      <c r="A2" s="140" t="s">
        <v>253</v>
      </c>
      <c r="B2" s="145"/>
      <c r="C2" s="145"/>
      <c r="E2" s="148"/>
    </row>
    <row r="3" spans="1:8" s="147" customFormat="1" ht="14.25" x14ac:dyDescent="0.2">
      <c r="A3" s="9" t="s">
        <v>203</v>
      </c>
      <c r="B3" s="145"/>
      <c r="C3" s="145"/>
      <c r="E3" s="148"/>
    </row>
    <row r="4" spans="1:8" s="147" customFormat="1" ht="14.25" x14ac:dyDescent="0.2">
      <c r="A4" s="9"/>
      <c r="B4" s="145"/>
      <c r="C4" s="145"/>
      <c r="E4" s="148"/>
    </row>
    <row r="5" spans="1:8" s="4" customFormat="1" ht="15.6" hidden="1" customHeight="1" x14ac:dyDescent="0.2">
      <c r="A5" s="305" t="s">
        <v>301</v>
      </c>
      <c r="B5" s="139"/>
      <c r="C5" s="139"/>
      <c r="D5" s="139"/>
      <c r="E5" s="139"/>
      <c r="F5" s="139"/>
      <c r="G5" s="6"/>
    </row>
    <row r="6" spans="1:8" s="4" customFormat="1" ht="16.5" customHeight="1" x14ac:dyDescent="0.2">
      <c r="A6" s="351" t="s">
        <v>319</v>
      </c>
      <c r="B6" s="5"/>
      <c r="C6" s="5"/>
      <c r="D6" s="6"/>
      <c r="E6" s="6"/>
      <c r="F6" s="6"/>
      <c r="G6" s="6"/>
    </row>
    <row r="7" spans="1:8" s="4" customFormat="1" ht="16.5" customHeight="1" x14ac:dyDescent="0.2">
      <c r="A7" s="351" t="s">
        <v>320</v>
      </c>
      <c r="B7" s="5"/>
      <c r="C7" s="5"/>
      <c r="D7" s="6"/>
      <c r="E7" s="6"/>
      <c r="F7" s="6"/>
      <c r="G7" s="6"/>
    </row>
    <row r="8" spans="1:8" s="147" customFormat="1" ht="15" thickBot="1" x14ac:dyDescent="0.25">
      <c r="B8" s="145"/>
      <c r="C8" s="145"/>
      <c r="E8" s="148"/>
    </row>
    <row r="9" spans="1:8" ht="15.75" x14ac:dyDescent="0.2">
      <c r="A9" s="457" t="s">
        <v>232</v>
      </c>
      <c r="B9" s="458"/>
      <c r="C9" s="458"/>
      <c r="D9" s="458"/>
      <c r="E9" s="458"/>
      <c r="F9" s="459"/>
    </row>
    <row r="10" spans="1:8" ht="16.5" thickBot="1" x14ac:dyDescent="0.25">
      <c r="A10" s="263"/>
      <c r="B10" s="264"/>
      <c r="C10" s="264"/>
      <c r="D10" s="264"/>
      <c r="E10" s="264"/>
      <c r="F10" s="265"/>
    </row>
    <row r="11" spans="1:8" ht="15" x14ac:dyDescent="0.25">
      <c r="A11" s="213"/>
      <c r="B11" s="146"/>
      <c r="C11" s="146"/>
      <c r="D11" s="454" t="s">
        <v>250</v>
      </c>
      <c r="E11" s="455"/>
      <c r="F11" s="456"/>
      <c r="G11" s="147"/>
      <c r="H11" s="147"/>
    </row>
    <row r="12" spans="1:8" ht="15" thickBot="1" x14ac:dyDescent="0.25">
      <c r="A12" s="210"/>
      <c r="B12" s="214"/>
      <c r="C12" s="214"/>
      <c r="D12" s="215" t="s">
        <v>189</v>
      </c>
      <c r="E12" s="216" t="s">
        <v>190</v>
      </c>
      <c r="F12" s="217" t="s">
        <v>191</v>
      </c>
      <c r="G12" s="147"/>
      <c r="H12" s="147"/>
    </row>
    <row r="13" spans="1:8" ht="14.25" x14ac:dyDescent="0.2">
      <c r="A13" s="218" t="s">
        <v>79</v>
      </c>
      <c r="B13" s="219" t="s">
        <v>80</v>
      </c>
      <c r="C13" s="220">
        <v>5.0799999999999998E-2</v>
      </c>
      <c r="D13" s="241">
        <v>2.9700000000000001E-2</v>
      </c>
      <c r="E13" s="242">
        <v>5.0799999999999998E-2</v>
      </c>
      <c r="F13" s="243">
        <v>6.2700000000000006E-2</v>
      </c>
      <c r="G13" s="147"/>
      <c r="H13" s="147"/>
    </row>
    <row r="14" spans="1:8" ht="14.25" x14ac:dyDescent="0.2">
      <c r="A14" s="222" t="s">
        <v>81</v>
      </c>
      <c r="B14" s="223" t="s">
        <v>82</v>
      </c>
      <c r="C14" s="224">
        <v>1.7000000000000001E-2</v>
      </c>
      <c r="D14" s="241">
        <f>0.3%+0.56%</f>
        <v>8.6E-3</v>
      </c>
      <c r="E14" s="242">
        <f>0.48%+0.85%</f>
        <v>1.3299999999999999E-2</v>
      </c>
      <c r="F14" s="243">
        <f>0.82%+0.89%</f>
        <v>1.7099999999999997E-2</v>
      </c>
      <c r="G14" s="147"/>
      <c r="H14" s="147"/>
    </row>
    <row r="15" spans="1:8" ht="14.25" x14ac:dyDescent="0.2">
      <c r="A15" s="222" t="s">
        <v>83</v>
      </c>
      <c r="B15" s="223" t="s">
        <v>84</v>
      </c>
      <c r="C15" s="224">
        <v>0.1</v>
      </c>
      <c r="D15" s="241">
        <v>7.7799999999999994E-2</v>
      </c>
      <c r="E15" s="242">
        <v>0.1085</v>
      </c>
      <c r="F15" s="243">
        <v>0.13550000000000001</v>
      </c>
      <c r="G15" s="147"/>
      <c r="H15" s="147"/>
    </row>
    <row r="16" spans="1:8" ht="14.25" x14ac:dyDescent="0.2">
      <c r="A16" s="222" t="s">
        <v>85</v>
      </c>
      <c r="B16" s="223" t="s">
        <v>86</v>
      </c>
      <c r="C16" s="225">
        <f>(1+E16)^(E17/252)-1</f>
        <v>2.1268922415460523E-3</v>
      </c>
      <c r="D16" s="241" t="s">
        <v>289</v>
      </c>
      <c r="E16" s="226">
        <v>5.5E-2</v>
      </c>
      <c r="F16" s="221"/>
      <c r="G16" s="147"/>
      <c r="H16" s="147"/>
    </row>
    <row r="17" spans="1:8" ht="14.25" x14ac:dyDescent="0.2">
      <c r="A17" s="222" t="s">
        <v>87</v>
      </c>
      <c r="B17" s="452" t="s">
        <v>88</v>
      </c>
      <c r="C17" s="224">
        <v>0.03</v>
      </c>
      <c r="D17" s="302" t="s">
        <v>192</v>
      </c>
      <c r="E17" s="227">
        <v>10</v>
      </c>
      <c r="F17" s="228"/>
      <c r="G17" s="147"/>
      <c r="H17" s="147"/>
    </row>
    <row r="18" spans="1:8" ht="15" thickBot="1" x14ac:dyDescent="0.25">
      <c r="A18" s="229" t="s">
        <v>401</v>
      </c>
      <c r="B18" s="453"/>
      <c r="C18" s="230">
        <v>3.6499999999999998E-2</v>
      </c>
      <c r="D18" s="204"/>
      <c r="E18" s="231"/>
      <c r="F18" s="228"/>
      <c r="G18" s="147"/>
      <c r="H18" s="147"/>
    </row>
    <row r="19" spans="1:8" ht="14.25" x14ac:dyDescent="0.2">
      <c r="A19" s="232" t="s">
        <v>89</v>
      </c>
      <c r="B19" s="233"/>
      <c r="C19" s="234"/>
      <c r="D19" s="204"/>
      <c r="E19" s="231"/>
      <c r="F19" s="228"/>
      <c r="G19" s="147"/>
      <c r="H19" s="147"/>
    </row>
    <row r="20" spans="1:8" ht="15" thickBot="1" x14ac:dyDescent="0.25">
      <c r="A20" s="235" t="s">
        <v>90</v>
      </c>
      <c r="B20" s="236"/>
      <c r="C20" s="237"/>
      <c r="D20" s="204"/>
      <c r="E20" s="231"/>
      <c r="F20" s="228"/>
      <c r="G20" s="147"/>
      <c r="H20" s="147"/>
    </row>
    <row r="21" spans="1:8" ht="15.75" thickBot="1" x14ac:dyDescent="0.25">
      <c r="A21" s="238" t="s">
        <v>91</v>
      </c>
      <c r="B21" s="239"/>
      <c r="C21" s="240">
        <f>ROUND((((1+C13+C14)*(1+C15)*(1+C16))/(1-(C17+C18))-1),4)</f>
        <v>0.26090000000000002</v>
      </c>
      <c r="D21" s="244">
        <v>0.21429999999999999</v>
      </c>
      <c r="E21" s="245">
        <v>0.2717</v>
      </c>
      <c r="F21" s="246">
        <v>0.3362</v>
      </c>
      <c r="G21" s="147"/>
      <c r="H21" s="147"/>
    </row>
    <row r="22" spans="1:8" ht="14.25" x14ac:dyDescent="0.2">
      <c r="A22" s="147"/>
      <c r="B22" s="147"/>
      <c r="C22" s="147"/>
      <c r="D22" s="147"/>
      <c r="E22" s="148"/>
      <c r="F22" s="147"/>
      <c r="G22" s="147"/>
      <c r="H22" s="147"/>
    </row>
    <row r="23" spans="1:8" ht="14.25" x14ac:dyDescent="0.2">
      <c r="A23" s="147"/>
      <c r="B23" s="147"/>
      <c r="C23" s="147"/>
      <c r="D23" s="147"/>
      <c r="E23" s="148"/>
      <c r="F23" s="147"/>
      <c r="G23" s="147"/>
      <c r="H23" s="147"/>
    </row>
    <row r="24" spans="1:8" ht="14.25" x14ac:dyDescent="0.2">
      <c r="A24" s="147"/>
      <c r="B24" s="147"/>
      <c r="C24" s="147"/>
      <c r="D24" s="147"/>
      <c r="E24" s="148"/>
      <c r="F24" s="147"/>
      <c r="G24" s="147"/>
      <c r="H24" s="147"/>
    </row>
    <row r="25" spans="1:8" ht="14.25" x14ac:dyDescent="0.2">
      <c r="A25" s="147"/>
      <c r="B25" s="147"/>
      <c r="C25" s="147"/>
      <c r="D25" s="147"/>
      <c r="E25" s="148"/>
      <c r="F25" s="147"/>
      <c r="G25" s="147"/>
      <c r="H25" s="147"/>
    </row>
  </sheetData>
  <mergeCells count="3">
    <mergeCell ref="B17:B18"/>
    <mergeCell ref="D11:F11"/>
    <mergeCell ref="A9:F9"/>
  </mergeCells>
  <pageMargins left="0.90551181102362199" right="0.51181102362204722" top="0.74803149606299213" bottom="0.74803149606299213" header="0.31496062992125984" footer="0.31496062992125984"/>
  <pageSetup paperSize="9" orientation="portrait" verticalDpi="3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C196" sqref="C196"/>
    </sheetView>
  </sheetViews>
  <sheetFormatPr defaultColWidth="8.85546875" defaultRowHeight="15" x14ac:dyDescent="0.25"/>
  <cols>
    <col min="1" max="1" width="18.28515625" style="317" customWidth="1"/>
    <col min="2" max="2" width="21.28515625" style="317" bestFit="1" customWidth="1"/>
    <col min="3" max="3" width="15.42578125" style="317" customWidth="1"/>
    <col min="4" max="4" width="8.85546875" style="317"/>
    <col min="5" max="6" width="11.42578125" style="317" hidden="1" customWidth="1"/>
    <col min="7" max="7" width="11.42578125" style="317" bestFit="1" customWidth="1"/>
    <col min="8" max="8" width="8.85546875" style="317"/>
    <col min="9" max="10" width="11.28515625" style="317" bestFit="1" customWidth="1"/>
    <col min="11" max="16384" width="8.85546875" style="317"/>
  </cols>
  <sheetData>
    <row r="1" spans="1:6" ht="15.75" x14ac:dyDescent="0.25">
      <c r="A1" s="354" t="s">
        <v>429</v>
      </c>
    </row>
    <row r="2" spans="1:6" ht="15.75" x14ac:dyDescent="0.25">
      <c r="A2" s="354" t="s">
        <v>446</v>
      </c>
    </row>
    <row r="3" spans="1:6" ht="15.75" x14ac:dyDescent="0.25">
      <c r="A3" s="354" t="s">
        <v>472</v>
      </c>
    </row>
    <row r="4" spans="1:6" x14ac:dyDescent="0.25">
      <c r="A4" s="316"/>
    </row>
    <row r="5" spans="1:6" x14ac:dyDescent="0.25">
      <c r="A5" s="460" t="s">
        <v>448</v>
      </c>
      <c r="B5" s="461"/>
      <c r="C5" s="462"/>
      <c r="E5" s="318" t="s">
        <v>323</v>
      </c>
      <c r="F5" s="318" t="s">
        <v>323</v>
      </c>
    </row>
    <row r="6" spans="1:6" x14ac:dyDescent="0.25">
      <c r="A6" s="319" t="s">
        <v>324</v>
      </c>
      <c r="B6" s="319" t="s">
        <v>447</v>
      </c>
      <c r="C6" s="319" t="s">
        <v>376</v>
      </c>
      <c r="E6" s="320">
        <v>108.51</v>
      </c>
      <c r="F6" s="320"/>
    </row>
    <row r="7" spans="1:6" x14ac:dyDescent="0.25">
      <c r="A7" s="321">
        <v>1</v>
      </c>
      <c r="B7" s="322">
        <v>43374</v>
      </c>
      <c r="C7" s="357">
        <v>84.39</v>
      </c>
      <c r="E7" s="320"/>
      <c r="F7" s="320"/>
    </row>
    <row r="8" spans="1:6" x14ac:dyDescent="0.25">
      <c r="A8" s="321">
        <v>2</v>
      </c>
      <c r="B8" s="322">
        <v>43405</v>
      </c>
      <c r="C8" s="357">
        <v>80.099999999999994</v>
      </c>
      <c r="E8" s="320"/>
      <c r="F8" s="320"/>
    </row>
    <row r="9" spans="1:6" x14ac:dyDescent="0.25">
      <c r="A9" s="321">
        <v>3</v>
      </c>
      <c r="B9" s="322">
        <v>43435</v>
      </c>
      <c r="C9" s="357">
        <v>86.92</v>
      </c>
      <c r="E9" s="320"/>
      <c r="F9" s="320"/>
    </row>
    <row r="10" spans="1:6" x14ac:dyDescent="0.25">
      <c r="A10" s="321">
        <v>4</v>
      </c>
      <c r="B10" s="322">
        <v>43466</v>
      </c>
      <c r="C10" s="357">
        <v>82.07</v>
      </c>
      <c r="E10" s="320"/>
      <c r="F10" s="320"/>
    </row>
    <row r="11" spans="1:6" x14ac:dyDescent="0.25">
      <c r="A11" s="321">
        <v>5</v>
      </c>
      <c r="B11" s="322">
        <v>43497</v>
      </c>
      <c r="C11" s="357">
        <v>65.59</v>
      </c>
      <c r="E11" s="320"/>
      <c r="F11" s="320"/>
    </row>
    <row r="12" spans="1:6" x14ac:dyDescent="0.25">
      <c r="A12" s="321">
        <v>6</v>
      </c>
      <c r="B12" s="322">
        <v>43525</v>
      </c>
      <c r="C12" s="357">
        <v>68.849999999999994</v>
      </c>
      <c r="E12" s="320"/>
      <c r="F12" s="320"/>
    </row>
    <row r="13" spans="1:6" x14ac:dyDescent="0.25">
      <c r="A13" s="321">
        <v>7</v>
      </c>
      <c r="B13" s="322">
        <v>43556</v>
      </c>
      <c r="C13" s="357">
        <v>75.599999999999994</v>
      </c>
      <c r="E13" s="320"/>
      <c r="F13" s="320"/>
    </row>
    <row r="14" spans="1:6" x14ac:dyDescent="0.25">
      <c r="A14" s="321">
        <v>8</v>
      </c>
      <c r="B14" s="322">
        <v>43586</v>
      </c>
      <c r="C14" s="357">
        <v>82.1</v>
      </c>
      <c r="E14" s="320"/>
      <c r="F14" s="320"/>
    </row>
    <row r="15" spans="1:6" x14ac:dyDescent="0.25">
      <c r="A15" s="321">
        <v>9</v>
      </c>
      <c r="B15" s="322">
        <v>43617</v>
      </c>
      <c r="C15" s="357">
        <v>73.180000000000007</v>
      </c>
      <c r="E15" s="320"/>
      <c r="F15" s="320"/>
    </row>
    <row r="16" spans="1:6" x14ac:dyDescent="0.25">
      <c r="A16" s="321">
        <v>10</v>
      </c>
      <c r="B16" s="322">
        <v>43647</v>
      </c>
      <c r="C16" s="357">
        <v>77.23</v>
      </c>
      <c r="E16" s="320"/>
      <c r="F16" s="320"/>
    </row>
    <row r="17" spans="1:6" x14ac:dyDescent="0.25">
      <c r="A17" s="321">
        <v>11</v>
      </c>
      <c r="B17" s="322">
        <v>43678</v>
      </c>
      <c r="C17" s="357">
        <v>72.78</v>
      </c>
      <c r="E17" s="320"/>
      <c r="F17" s="320"/>
    </row>
    <row r="18" spans="1:6" x14ac:dyDescent="0.25">
      <c r="A18" s="321">
        <v>12</v>
      </c>
      <c r="B18" s="322">
        <v>43709</v>
      </c>
      <c r="C18" s="357">
        <v>71.06</v>
      </c>
      <c r="E18" s="320"/>
      <c r="F18" s="320"/>
    </row>
    <row r="19" spans="1:6" x14ac:dyDescent="0.25">
      <c r="A19" s="321"/>
      <c r="B19" s="322"/>
      <c r="C19" s="357"/>
      <c r="E19" s="320"/>
      <c r="F19" s="320"/>
    </row>
    <row r="20" spans="1:6" x14ac:dyDescent="0.25">
      <c r="A20" s="460" t="s">
        <v>375</v>
      </c>
      <c r="B20" s="462"/>
      <c r="C20" s="358">
        <f>SUM(C7:C19)</f>
        <v>919.87000000000012</v>
      </c>
    </row>
    <row r="21" spans="1:6" x14ac:dyDescent="0.25">
      <c r="A21" s="400" t="s">
        <v>449</v>
      </c>
      <c r="B21" s="322"/>
      <c r="C21" s="323">
        <v>12</v>
      </c>
    </row>
    <row r="22" spans="1:6" x14ac:dyDescent="0.25">
      <c r="A22" s="400" t="s">
        <v>450</v>
      </c>
      <c r="B22" s="322"/>
      <c r="C22" s="401">
        <f>C20/C21</f>
        <v>76.655833333333348</v>
      </c>
    </row>
    <row r="23" spans="1:6" x14ac:dyDescent="0.25">
      <c r="A23" s="316" t="s">
        <v>465</v>
      </c>
    </row>
    <row r="24" spans="1:6" x14ac:dyDescent="0.25">
      <c r="A24" s="355"/>
      <c r="B24" s="356"/>
      <c r="C24" s="324"/>
      <c r="E24" s="325"/>
    </row>
    <row r="25" spans="1:6" x14ac:dyDescent="0.25">
      <c r="A25" s="355"/>
      <c r="B25" s="356"/>
      <c r="C25" s="326">
        <v>13</v>
      </c>
      <c r="E25" s="324"/>
    </row>
    <row r="26" spans="1:6" x14ac:dyDescent="0.25">
      <c r="C26" s="324">
        <f>C22/C25</f>
        <v>5.8966025641025652</v>
      </c>
    </row>
    <row r="27" spans="1:6" x14ac:dyDescent="0.25">
      <c r="E27" s="326"/>
    </row>
  </sheetData>
  <mergeCells count="2">
    <mergeCell ref="A5:C5"/>
    <mergeCell ref="A20:B20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3"/>
  <sheetViews>
    <sheetView tabSelected="1" workbookViewId="0">
      <selection activeCell="F41" sqref="F41"/>
    </sheetView>
  </sheetViews>
  <sheetFormatPr defaultColWidth="8.85546875" defaultRowHeight="15" x14ac:dyDescent="0.25"/>
  <cols>
    <col min="1" max="1" width="8.28515625" style="331" customWidth="1"/>
    <col min="2" max="2" width="17.42578125" style="331" bestFit="1" customWidth="1"/>
    <col min="3" max="3" width="21.85546875" style="331" bestFit="1" customWidth="1"/>
    <col min="4" max="4" width="8" style="331" bestFit="1" customWidth="1"/>
    <col min="5" max="5" width="5.5703125" style="331" bestFit="1" customWidth="1"/>
    <col min="6" max="6" width="10.42578125" style="331" bestFit="1" customWidth="1"/>
    <col min="7" max="16384" width="8.85546875" style="331"/>
  </cols>
  <sheetData>
    <row r="1" spans="1:12" ht="15.75" x14ac:dyDescent="0.25">
      <c r="A1" s="354" t="s">
        <v>429</v>
      </c>
    </row>
    <row r="2" spans="1:12" x14ac:dyDescent="0.25">
      <c r="A2" s="330" t="s">
        <v>343</v>
      </c>
    </row>
    <row r="3" spans="1:12" x14ac:dyDescent="0.25">
      <c r="A3" s="330" t="s">
        <v>438</v>
      </c>
    </row>
    <row r="4" spans="1:12" x14ac:dyDescent="0.25">
      <c r="A4" s="332" t="s">
        <v>326</v>
      </c>
      <c r="B4" s="332" t="s">
        <v>327</v>
      </c>
      <c r="C4" s="332" t="s">
        <v>328</v>
      </c>
      <c r="D4" s="332" t="s">
        <v>329</v>
      </c>
      <c r="E4" s="332" t="s">
        <v>330</v>
      </c>
      <c r="F4" s="332" t="s">
        <v>331</v>
      </c>
    </row>
    <row r="5" spans="1:12" x14ac:dyDescent="0.25">
      <c r="A5" s="333">
        <v>3</v>
      </c>
      <c r="B5" s="332" t="s">
        <v>394</v>
      </c>
      <c r="C5" s="332" t="s">
        <v>439</v>
      </c>
      <c r="D5" s="334">
        <v>0.25</v>
      </c>
      <c r="E5" s="334">
        <v>0.4375</v>
      </c>
      <c r="F5" s="334">
        <v>0.1875</v>
      </c>
    </row>
    <row r="6" spans="1:12" x14ac:dyDescent="0.25">
      <c r="A6" s="333">
        <v>3</v>
      </c>
      <c r="B6" s="332" t="s">
        <v>394</v>
      </c>
      <c r="C6" s="332" t="s">
        <v>440</v>
      </c>
      <c r="D6" s="334">
        <v>0.25</v>
      </c>
      <c r="E6" s="334">
        <v>0.54166666666666663</v>
      </c>
      <c r="F6" s="334">
        <v>0.25</v>
      </c>
    </row>
    <row r="7" spans="1:12" x14ac:dyDescent="0.25">
      <c r="A7" s="333">
        <v>3</v>
      </c>
      <c r="B7" s="332" t="s">
        <v>395</v>
      </c>
      <c r="C7" s="332" t="s">
        <v>441</v>
      </c>
      <c r="D7" s="334">
        <v>0.25</v>
      </c>
      <c r="E7" s="334">
        <v>0.54166666666666663</v>
      </c>
      <c r="F7" s="334">
        <v>0.25</v>
      </c>
      <c r="I7" s="331">
        <v>6</v>
      </c>
      <c r="J7" s="331">
        <v>7.5</v>
      </c>
    </row>
    <row r="8" spans="1:12" x14ac:dyDescent="0.25">
      <c r="A8" s="333">
        <v>3</v>
      </c>
      <c r="B8" s="332" t="s">
        <v>458</v>
      </c>
      <c r="C8" s="332" t="s">
        <v>457</v>
      </c>
      <c r="D8" s="334">
        <v>0.25</v>
      </c>
      <c r="E8" s="334">
        <v>0.60416666666666663</v>
      </c>
      <c r="F8" s="334">
        <v>0.3125</v>
      </c>
      <c r="I8" s="331">
        <v>4</v>
      </c>
      <c r="J8" s="331">
        <v>1</v>
      </c>
    </row>
    <row r="9" spans="1:12" x14ac:dyDescent="0.25">
      <c r="A9" s="332"/>
      <c r="B9" s="332"/>
      <c r="C9" s="332"/>
      <c r="D9" s="332"/>
      <c r="E9" s="332"/>
      <c r="F9" s="332"/>
      <c r="I9" s="331">
        <f>I7*I8</f>
        <v>24</v>
      </c>
      <c r="J9" s="331">
        <f>J7*J8</f>
        <v>7.5</v>
      </c>
      <c r="K9" s="331">
        <f>I9+J9</f>
        <v>31.5</v>
      </c>
    </row>
    <row r="10" spans="1:12" x14ac:dyDescent="0.25">
      <c r="A10" s="333">
        <v>1</v>
      </c>
      <c r="B10" s="332" t="s">
        <v>396</v>
      </c>
      <c r="C10" s="332" t="s">
        <v>439</v>
      </c>
      <c r="D10" s="334">
        <v>0.25</v>
      </c>
      <c r="E10" s="334">
        <v>0.4375</v>
      </c>
      <c r="F10" s="334">
        <v>0.1875</v>
      </c>
      <c r="H10" s="342"/>
      <c r="I10" s="342"/>
      <c r="J10" s="342"/>
      <c r="K10" s="331">
        <v>5</v>
      </c>
    </row>
    <row r="11" spans="1:12" x14ac:dyDescent="0.25">
      <c r="A11" s="333">
        <v>1</v>
      </c>
      <c r="B11" s="332" t="s">
        <v>396</v>
      </c>
      <c r="C11" s="332" t="s">
        <v>440</v>
      </c>
      <c r="D11" s="334">
        <v>0.25</v>
      </c>
      <c r="E11" s="334">
        <v>0.54166666666666663</v>
      </c>
      <c r="F11" s="334">
        <v>0.25</v>
      </c>
      <c r="H11" s="342"/>
      <c r="I11" s="342"/>
      <c r="J11" s="342"/>
      <c r="K11" s="420">
        <f>K9/K10</f>
        <v>6.3</v>
      </c>
    </row>
    <row r="12" spans="1:12" x14ac:dyDescent="0.25">
      <c r="A12" s="333">
        <v>1</v>
      </c>
      <c r="B12" s="332" t="s">
        <v>452</v>
      </c>
      <c r="C12" s="332" t="s">
        <v>442</v>
      </c>
      <c r="D12" s="334">
        <v>0.54166666666666663</v>
      </c>
      <c r="E12" s="334">
        <v>0.64583333333333337</v>
      </c>
      <c r="F12" s="334">
        <v>0.10416666666666667</v>
      </c>
      <c r="H12" s="342"/>
      <c r="I12" s="342"/>
      <c r="J12" s="342"/>
    </row>
    <row r="13" spans="1:12" x14ac:dyDescent="0.25">
      <c r="A13" s="333">
        <v>1</v>
      </c>
      <c r="B13" s="332" t="s">
        <v>397</v>
      </c>
      <c r="C13" s="332" t="s">
        <v>453</v>
      </c>
      <c r="D13" s="334">
        <v>0.25</v>
      </c>
      <c r="E13" s="334">
        <v>0.64583333333333337</v>
      </c>
      <c r="F13" s="334">
        <v>0.35416666666666669</v>
      </c>
      <c r="H13" s="342"/>
      <c r="I13" s="342"/>
      <c r="J13" s="342"/>
    </row>
    <row r="14" spans="1:12" x14ac:dyDescent="0.25">
      <c r="A14" s="333">
        <v>1</v>
      </c>
      <c r="B14" s="332" t="s">
        <v>459</v>
      </c>
      <c r="C14" s="332" t="s">
        <v>457</v>
      </c>
      <c r="D14" s="334">
        <v>0.25</v>
      </c>
      <c r="E14" s="334">
        <v>0.70833333333333337</v>
      </c>
      <c r="F14" s="334">
        <v>0.41666666666666669</v>
      </c>
      <c r="H14" s="342"/>
    </row>
    <row r="15" spans="1:12" x14ac:dyDescent="0.25">
      <c r="A15" s="360"/>
      <c r="H15" s="342"/>
      <c r="I15" s="331">
        <v>8.5</v>
      </c>
      <c r="J15" s="331">
        <v>10</v>
      </c>
      <c r="L15" s="342"/>
    </row>
    <row r="16" spans="1:12" x14ac:dyDescent="0.25">
      <c r="H16" s="342"/>
      <c r="I16" s="331">
        <v>4</v>
      </c>
      <c r="J16" s="331">
        <v>1</v>
      </c>
      <c r="L16" s="342"/>
    </row>
    <row r="17" spans="1:11" x14ac:dyDescent="0.25">
      <c r="A17" s="330" t="s">
        <v>398</v>
      </c>
      <c r="I17" s="331">
        <f>I15*I16</f>
        <v>34</v>
      </c>
      <c r="J17" s="331">
        <f>J15*J16</f>
        <v>10</v>
      </c>
      <c r="K17" s="331">
        <f>I17+J17</f>
        <v>44</v>
      </c>
    </row>
    <row r="18" spans="1:11" x14ac:dyDescent="0.25">
      <c r="A18" s="335" t="s">
        <v>332</v>
      </c>
      <c r="B18" s="336"/>
      <c r="C18" s="336"/>
      <c r="D18" s="336"/>
      <c r="E18" s="336"/>
      <c r="F18" s="337">
        <v>5</v>
      </c>
      <c r="I18" s="342"/>
      <c r="J18" s="342"/>
      <c r="K18" s="331">
        <v>5</v>
      </c>
    </row>
    <row r="19" spans="1:11" x14ac:dyDescent="0.25">
      <c r="A19" s="338" t="s">
        <v>333</v>
      </c>
      <c r="B19" s="336"/>
      <c r="C19" s="336"/>
      <c r="D19" s="336"/>
      <c r="E19" s="336"/>
      <c r="F19" s="337">
        <v>3</v>
      </c>
      <c r="I19" s="342"/>
      <c r="J19" s="342"/>
      <c r="K19" s="420">
        <f>K17/K18</f>
        <v>8.8000000000000007</v>
      </c>
    </row>
    <row r="20" spans="1:11" x14ac:dyDescent="0.25">
      <c r="A20" s="335" t="s">
        <v>334</v>
      </c>
      <c r="B20" s="336"/>
      <c r="C20" s="336"/>
      <c r="D20" s="336"/>
      <c r="E20" s="336"/>
      <c r="F20" s="337">
        <f>F18*F19</f>
        <v>15</v>
      </c>
    </row>
    <row r="21" spans="1:11" x14ac:dyDescent="0.25">
      <c r="A21" s="335" t="s">
        <v>335</v>
      </c>
      <c r="B21" s="336"/>
      <c r="C21" s="336"/>
      <c r="D21" s="336"/>
      <c r="E21" s="336"/>
      <c r="F21" s="337">
        <v>6</v>
      </c>
    </row>
    <row r="22" spans="1:11" x14ac:dyDescent="0.25">
      <c r="A22" s="335" t="s">
        <v>336</v>
      </c>
      <c r="B22" s="336"/>
      <c r="C22" s="336"/>
      <c r="D22" s="336"/>
      <c r="E22" s="336"/>
      <c r="F22" s="337">
        <v>7</v>
      </c>
    </row>
    <row r="23" spans="1:11" x14ac:dyDescent="0.25">
      <c r="A23" s="335" t="s">
        <v>337</v>
      </c>
      <c r="B23" s="336"/>
      <c r="C23" s="336"/>
      <c r="D23" s="336"/>
      <c r="E23" s="336"/>
      <c r="F23" s="337">
        <f>F20/F21</f>
        <v>2.5</v>
      </c>
    </row>
    <row r="24" spans="1:11" x14ac:dyDescent="0.25">
      <c r="A24" s="335" t="s">
        <v>338</v>
      </c>
      <c r="B24" s="336"/>
      <c r="C24" s="336"/>
      <c r="D24" s="336"/>
      <c r="E24" s="336"/>
      <c r="F24" s="337">
        <v>30</v>
      </c>
    </row>
    <row r="25" spans="1:11" x14ac:dyDescent="0.25">
      <c r="A25" s="339" t="s">
        <v>339</v>
      </c>
      <c r="B25" s="340"/>
      <c r="C25" s="340"/>
      <c r="D25" s="340"/>
      <c r="E25" s="340"/>
      <c r="F25" s="332">
        <f>F23*F24</f>
        <v>75</v>
      </c>
    </row>
    <row r="26" spans="1:11" x14ac:dyDescent="0.25">
      <c r="A26" s="339" t="s">
        <v>341</v>
      </c>
      <c r="B26" s="340"/>
      <c r="C26" s="340"/>
      <c r="D26" s="340"/>
      <c r="E26" s="340"/>
      <c r="F26" s="332">
        <v>220</v>
      </c>
    </row>
    <row r="27" spans="1:11" x14ac:dyDescent="0.25">
      <c r="A27" s="339" t="s">
        <v>342</v>
      </c>
      <c r="B27" s="340"/>
      <c r="C27" s="340"/>
      <c r="D27" s="340"/>
      <c r="E27" s="340"/>
      <c r="F27" s="341">
        <f>F25/F26</f>
        <v>0.34090909090909088</v>
      </c>
    </row>
    <row r="29" spans="1:11" x14ac:dyDescent="0.25">
      <c r="A29" s="330" t="s">
        <v>399</v>
      </c>
    </row>
    <row r="30" spans="1:11" x14ac:dyDescent="0.25">
      <c r="A30" s="335" t="s">
        <v>340</v>
      </c>
      <c r="B30" s="336"/>
      <c r="C30" s="336"/>
      <c r="D30" s="336"/>
      <c r="E30" s="336"/>
      <c r="F30" s="337">
        <v>7.5</v>
      </c>
    </row>
    <row r="31" spans="1:11" x14ac:dyDescent="0.25">
      <c r="A31" s="338" t="s">
        <v>333</v>
      </c>
      <c r="B31" s="336"/>
      <c r="C31" s="336"/>
      <c r="D31" s="336"/>
      <c r="E31" s="336"/>
      <c r="F31" s="337">
        <v>3</v>
      </c>
    </row>
    <row r="32" spans="1:11" x14ac:dyDescent="0.25">
      <c r="A32" s="335" t="s">
        <v>334</v>
      </c>
      <c r="B32" s="336"/>
      <c r="C32" s="336"/>
      <c r="D32" s="336"/>
      <c r="E32" s="336"/>
      <c r="F32" s="337">
        <f>F30*F31</f>
        <v>22.5</v>
      </c>
    </row>
    <row r="33" spans="1:6" x14ac:dyDescent="0.25">
      <c r="A33" s="335" t="s">
        <v>335</v>
      </c>
      <c r="B33" s="336"/>
      <c r="C33" s="336"/>
      <c r="D33" s="336"/>
      <c r="E33" s="336"/>
      <c r="F33" s="337">
        <v>6</v>
      </c>
    </row>
    <row r="34" spans="1:6" x14ac:dyDescent="0.25">
      <c r="A34" s="335" t="s">
        <v>336</v>
      </c>
      <c r="B34" s="336"/>
      <c r="C34" s="336"/>
      <c r="D34" s="336"/>
      <c r="E34" s="336"/>
      <c r="F34" s="337">
        <v>7</v>
      </c>
    </row>
    <row r="35" spans="1:6" x14ac:dyDescent="0.25">
      <c r="A35" s="335" t="s">
        <v>337</v>
      </c>
      <c r="B35" s="336"/>
      <c r="C35" s="336"/>
      <c r="D35" s="336"/>
      <c r="E35" s="336"/>
      <c r="F35" s="337">
        <f>F32/F33</f>
        <v>3.75</v>
      </c>
    </row>
    <row r="36" spans="1:6" x14ac:dyDescent="0.25">
      <c r="A36" s="335" t="s">
        <v>338</v>
      </c>
      <c r="B36" s="336"/>
      <c r="C36" s="336"/>
      <c r="D36" s="336"/>
      <c r="E36" s="336"/>
      <c r="F36" s="337">
        <v>30</v>
      </c>
    </row>
    <row r="37" spans="1:6" x14ac:dyDescent="0.25">
      <c r="A37" s="339" t="s">
        <v>339</v>
      </c>
      <c r="B37" s="340"/>
      <c r="C37" s="340"/>
      <c r="D37" s="340"/>
      <c r="E37" s="340"/>
      <c r="F37" s="349">
        <f>F35*F36</f>
        <v>112.5</v>
      </c>
    </row>
    <row r="38" spans="1:6" x14ac:dyDescent="0.25">
      <c r="A38" s="339" t="s">
        <v>341</v>
      </c>
      <c r="B38" s="340"/>
      <c r="C38" s="340"/>
      <c r="D38" s="340"/>
      <c r="E38" s="340"/>
      <c r="F38" s="332">
        <v>220</v>
      </c>
    </row>
    <row r="39" spans="1:6" x14ac:dyDescent="0.25">
      <c r="A39" s="339" t="s">
        <v>342</v>
      </c>
      <c r="B39" s="340"/>
      <c r="C39" s="340"/>
      <c r="D39" s="340"/>
      <c r="E39" s="340"/>
      <c r="F39" s="341">
        <f>F37/F38</f>
        <v>0.51136363636363635</v>
      </c>
    </row>
    <row r="41" spans="1:6" x14ac:dyDescent="0.25">
      <c r="A41" s="330" t="s">
        <v>460</v>
      </c>
    </row>
    <row r="42" spans="1:6" x14ac:dyDescent="0.25">
      <c r="A42" s="335" t="s">
        <v>332</v>
      </c>
      <c r="B42" s="336"/>
      <c r="C42" s="336"/>
      <c r="D42" s="336"/>
      <c r="E42" s="336"/>
      <c r="F42" s="337">
        <v>6.3</v>
      </c>
    </row>
    <row r="43" spans="1:6" x14ac:dyDescent="0.25">
      <c r="A43" s="338" t="s">
        <v>333</v>
      </c>
      <c r="B43" s="336"/>
      <c r="C43" s="336"/>
      <c r="D43" s="336"/>
      <c r="E43" s="336"/>
      <c r="F43" s="337">
        <v>1.25</v>
      </c>
    </row>
    <row r="44" spans="1:6" x14ac:dyDescent="0.25">
      <c r="A44" s="335" t="s">
        <v>334</v>
      </c>
      <c r="B44" s="336"/>
      <c r="C44" s="336"/>
      <c r="D44" s="336"/>
      <c r="E44" s="336"/>
      <c r="F44" s="337">
        <f>F42*F43</f>
        <v>7.875</v>
      </c>
    </row>
    <row r="45" spans="1:6" x14ac:dyDescent="0.25">
      <c r="A45" s="335" t="s">
        <v>335</v>
      </c>
      <c r="B45" s="336"/>
      <c r="C45" s="336"/>
      <c r="D45" s="336"/>
      <c r="E45" s="336"/>
      <c r="F45" s="337">
        <v>6</v>
      </c>
    </row>
    <row r="46" spans="1:6" x14ac:dyDescent="0.25">
      <c r="A46" s="335" t="s">
        <v>336</v>
      </c>
      <c r="B46" s="336"/>
      <c r="C46" s="336"/>
      <c r="D46" s="336"/>
      <c r="E46" s="336"/>
      <c r="F46" s="337">
        <v>7</v>
      </c>
    </row>
    <row r="47" spans="1:6" x14ac:dyDescent="0.25">
      <c r="A47" s="335" t="s">
        <v>337</v>
      </c>
      <c r="B47" s="336"/>
      <c r="C47" s="336"/>
      <c r="D47" s="336"/>
      <c r="E47" s="336"/>
      <c r="F47" s="347">
        <f>F44/F45</f>
        <v>1.3125</v>
      </c>
    </row>
    <row r="48" spans="1:6" x14ac:dyDescent="0.25">
      <c r="A48" s="335" t="s">
        <v>338</v>
      </c>
      <c r="B48" s="336"/>
      <c r="C48" s="336"/>
      <c r="D48" s="336"/>
      <c r="E48" s="336"/>
      <c r="F48" s="337">
        <v>30</v>
      </c>
    </row>
    <row r="49" spans="1:6" x14ac:dyDescent="0.25">
      <c r="A49" s="339" t="s">
        <v>339</v>
      </c>
      <c r="B49" s="340"/>
      <c r="C49" s="340"/>
      <c r="D49" s="340"/>
      <c r="E49" s="340"/>
      <c r="F49" s="332">
        <f>F47*F48</f>
        <v>39.375</v>
      </c>
    </row>
    <row r="50" spans="1:6" x14ac:dyDescent="0.25">
      <c r="A50" s="339" t="s">
        <v>341</v>
      </c>
      <c r="B50" s="340"/>
      <c r="C50" s="340"/>
      <c r="D50" s="340"/>
      <c r="E50" s="340"/>
      <c r="F50" s="332">
        <v>220</v>
      </c>
    </row>
    <row r="51" spans="1:6" x14ac:dyDescent="0.25">
      <c r="A51" s="339" t="s">
        <v>342</v>
      </c>
      <c r="B51" s="340"/>
      <c r="C51" s="340"/>
      <c r="D51" s="340"/>
      <c r="E51" s="340"/>
      <c r="F51" s="341">
        <f>F49/F50</f>
        <v>0.17897727272727273</v>
      </c>
    </row>
    <row r="53" spans="1:6" x14ac:dyDescent="0.25">
      <c r="A53" s="330" t="s">
        <v>461</v>
      </c>
    </row>
    <row r="54" spans="1:6" x14ac:dyDescent="0.25">
      <c r="A54" s="335" t="s">
        <v>340</v>
      </c>
      <c r="B54" s="336"/>
      <c r="C54" s="336"/>
      <c r="D54" s="336"/>
      <c r="E54" s="336"/>
      <c r="F54" s="337">
        <v>8.8000000000000007</v>
      </c>
    </row>
    <row r="55" spans="1:6" x14ac:dyDescent="0.25">
      <c r="A55" s="338" t="s">
        <v>333</v>
      </c>
      <c r="B55" s="336"/>
      <c r="C55" s="336"/>
      <c r="D55" s="336"/>
      <c r="E55" s="336"/>
      <c r="F55" s="337">
        <v>1.25</v>
      </c>
    </row>
    <row r="56" spans="1:6" x14ac:dyDescent="0.25">
      <c r="A56" s="335" t="s">
        <v>334</v>
      </c>
      <c r="B56" s="336"/>
      <c r="C56" s="336"/>
      <c r="D56" s="336"/>
      <c r="E56" s="336"/>
      <c r="F56" s="337">
        <f>F54*F55</f>
        <v>11</v>
      </c>
    </row>
    <row r="57" spans="1:6" x14ac:dyDescent="0.25">
      <c r="A57" s="335" t="s">
        <v>335</v>
      </c>
      <c r="B57" s="336"/>
      <c r="C57" s="336"/>
      <c r="D57" s="336"/>
      <c r="E57" s="336"/>
      <c r="F57" s="337">
        <v>6</v>
      </c>
    </row>
    <row r="58" spans="1:6" x14ac:dyDescent="0.25">
      <c r="A58" s="335" t="s">
        <v>336</v>
      </c>
      <c r="B58" s="336"/>
      <c r="C58" s="336"/>
      <c r="D58" s="336"/>
      <c r="E58" s="336"/>
      <c r="F58" s="337">
        <v>7</v>
      </c>
    </row>
    <row r="59" spans="1:6" x14ac:dyDescent="0.25">
      <c r="A59" s="335" t="s">
        <v>337</v>
      </c>
      <c r="B59" s="336"/>
      <c r="C59" s="336"/>
      <c r="D59" s="336"/>
      <c r="E59" s="336"/>
      <c r="F59" s="347">
        <f>F56/F57</f>
        <v>1.8333333333333333</v>
      </c>
    </row>
    <row r="60" spans="1:6" x14ac:dyDescent="0.25">
      <c r="A60" s="335" t="s">
        <v>338</v>
      </c>
      <c r="B60" s="336"/>
      <c r="C60" s="336"/>
      <c r="D60" s="336"/>
      <c r="E60" s="336"/>
      <c r="F60" s="337">
        <v>30</v>
      </c>
    </row>
    <row r="61" spans="1:6" x14ac:dyDescent="0.25">
      <c r="A61" s="339" t="s">
        <v>339</v>
      </c>
      <c r="B61" s="340"/>
      <c r="C61" s="340"/>
      <c r="D61" s="340"/>
      <c r="E61" s="340"/>
      <c r="F61" s="349">
        <f>F59*F60</f>
        <v>55</v>
      </c>
    </row>
    <row r="62" spans="1:6" x14ac:dyDescent="0.25">
      <c r="A62" s="339" t="s">
        <v>341</v>
      </c>
      <c r="B62" s="340"/>
      <c r="C62" s="340"/>
      <c r="D62" s="340"/>
      <c r="E62" s="340"/>
      <c r="F62" s="332">
        <v>220</v>
      </c>
    </row>
    <row r="63" spans="1:6" x14ac:dyDescent="0.25">
      <c r="A63" s="339" t="s">
        <v>342</v>
      </c>
      <c r="B63" s="340"/>
      <c r="C63" s="340"/>
      <c r="D63" s="340"/>
      <c r="E63" s="340"/>
      <c r="F63" s="341">
        <f>F61/F62</f>
        <v>0.25</v>
      </c>
    </row>
  </sheetData>
  <pageMargins left="0.51181102362204722" right="0.51181102362204722" top="0.78740157480314965" bottom="0.78740157480314965" header="0.31496062992125984" footer="0.31496062992125984"/>
  <pageSetup paperSize="9" scale="86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0"/>
  <sheetViews>
    <sheetView topLeftCell="A73" workbookViewId="0">
      <selection activeCell="B88" sqref="B88"/>
    </sheetView>
  </sheetViews>
  <sheetFormatPr defaultColWidth="8.85546875" defaultRowHeight="15" x14ac:dyDescent="0.25"/>
  <cols>
    <col min="1" max="1" width="19.42578125" style="375" customWidth="1"/>
    <col min="2" max="2" width="15.7109375" style="375" customWidth="1"/>
    <col min="3" max="3" width="14.5703125" style="375" customWidth="1"/>
    <col min="4" max="4" width="13.28515625" style="375" customWidth="1"/>
    <col min="5" max="5" width="5.7109375" style="375" customWidth="1"/>
    <col min="6" max="16384" width="8.85546875" style="375"/>
  </cols>
  <sheetData>
    <row r="1" spans="1:6" ht="15" customHeight="1" x14ac:dyDescent="0.25">
      <c r="A1" s="491" t="s">
        <v>451</v>
      </c>
      <c r="B1" s="474"/>
      <c r="C1" s="474"/>
      <c r="D1" s="474"/>
      <c r="E1" s="474"/>
      <c r="F1" s="377"/>
    </row>
    <row r="2" spans="1:6" ht="15" customHeight="1" x14ac:dyDescent="0.25">
      <c r="A2" s="474" t="s">
        <v>430</v>
      </c>
      <c r="B2" s="474"/>
      <c r="C2" s="474"/>
      <c r="D2" s="474"/>
      <c r="E2" s="474"/>
      <c r="F2" s="378"/>
    </row>
    <row r="3" spans="1:6" x14ac:dyDescent="0.25">
      <c r="A3" s="379" t="s">
        <v>379</v>
      </c>
      <c r="B3" s="379" t="s">
        <v>346</v>
      </c>
      <c r="C3" s="379" t="s">
        <v>347</v>
      </c>
      <c r="D3" s="379" t="s">
        <v>344</v>
      </c>
      <c r="E3" s="379" t="s">
        <v>267</v>
      </c>
      <c r="F3" s="378"/>
    </row>
    <row r="4" spans="1:6" s="380" customFormat="1" x14ac:dyDescent="0.25">
      <c r="A4" s="379" t="s">
        <v>349</v>
      </c>
      <c r="B4" s="379"/>
      <c r="C4" s="381" t="s">
        <v>350</v>
      </c>
      <c r="D4" s="382">
        <v>954.03</v>
      </c>
      <c r="E4" s="383" t="s">
        <v>348</v>
      </c>
      <c r="F4" s="378"/>
    </row>
    <row r="5" spans="1:6" s="380" customFormat="1" x14ac:dyDescent="0.25">
      <c r="A5" s="379" t="s">
        <v>351</v>
      </c>
      <c r="B5" s="379"/>
      <c r="C5" s="381" t="s">
        <v>352</v>
      </c>
      <c r="D5" s="382">
        <v>2189.7600000000002</v>
      </c>
      <c r="E5" s="383" t="s">
        <v>348</v>
      </c>
      <c r="F5" s="378"/>
    </row>
    <row r="6" spans="1:6" x14ac:dyDescent="0.25">
      <c r="A6" s="379" t="s">
        <v>353</v>
      </c>
      <c r="B6" s="379"/>
      <c r="C6" s="381" t="s">
        <v>354</v>
      </c>
      <c r="D6" s="382">
        <v>1436.63</v>
      </c>
      <c r="E6" s="383" t="s">
        <v>348</v>
      </c>
      <c r="F6" s="378"/>
    </row>
    <row r="7" spans="1:6" ht="15" customHeight="1" x14ac:dyDescent="0.25">
      <c r="A7" s="379" t="s">
        <v>355</v>
      </c>
      <c r="B7" s="379"/>
      <c r="C7" s="381" t="s">
        <v>356</v>
      </c>
      <c r="D7" s="382">
        <v>1057.44</v>
      </c>
      <c r="E7" s="383" t="s">
        <v>348</v>
      </c>
      <c r="F7" s="376"/>
    </row>
    <row r="8" spans="1:6" x14ac:dyDescent="0.25">
      <c r="A8" s="379" t="s">
        <v>357</v>
      </c>
      <c r="B8" s="379"/>
      <c r="C8" s="381" t="s">
        <v>358</v>
      </c>
      <c r="D8" s="382">
        <v>3399.32</v>
      </c>
      <c r="E8" s="383" t="s">
        <v>348</v>
      </c>
      <c r="F8" s="378"/>
    </row>
    <row r="9" spans="1:6" x14ac:dyDescent="0.25">
      <c r="A9" s="379" t="s">
        <v>359</v>
      </c>
      <c r="B9" s="379"/>
      <c r="C9" s="381" t="s">
        <v>360</v>
      </c>
      <c r="D9" s="382">
        <v>1718.92</v>
      </c>
      <c r="E9" s="383" t="s">
        <v>348</v>
      </c>
      <c r="F9" s="378"/>
    </row>
    <row r="10" spans="1:6" x14ac:dyDescent="0.25">
      <c r="A10" s="379" t="s">
        <v>361</v>
      </c>
      <c r="B10" s="379"/>
      <c r="C10" s="381" t="s">
        <v>362</v>
      </c>
      <c r="D10" s="382">
        <v>1827.87</v>
      </c>
      <c r="E10" s="383" t="s">
        <v>348</v>
      </c>
      <c r="F10" s="378"/>
    </row>
    <row r="11" spans="1:6" ht="15" customHeight="1" x14ac:dyDescent="0.25">
      <c r="A11" s="379" t="s">
        <v>363</v>
      </c>
      <c r="B11" s="379"/>
      <c r="C11" s="381" t="s">
        <v>384</v>
      </c>
      <c r="D11" s="382">
        <v>1739.96</v>
      </c>
      <c r="E11" s="383" t="s">
        <v>348</v>
      </c>
      <c r="F11" s="378"/>
    </row>
    <row r="12" spans="1:6" x14ac:dyDescent="0.25">
      <c r="A12" s="379" t="s">
        <v>364</v>
      </c>
      <c r="B12" s="379"/>
      <c r="C12" s="381" t="s">
        <v>385</v>
      </c>
      <c r="D12" s="382">
        <v>3935.27</v>
      </c>
      <c r="E12" s="383" t="s">
        <v>348</v>
      </c>
      <c r="F12" s="378"/>
    </row>
    <row r="13" spans="1:6" ht="15.75" customHeight="1" x14ac:dyDescent="0.25">
      <c r="A13" s="379" t="s">
        <v>365</v>
      </c>
      <c r="B13" s="379"/>
      <c r="C13" s="381" t="s">
        <v>386</v>
      </c>
      <c r="D13" s="382">
        <v>2867.02</v>
      </c>
      <c r="E13" s="383" t="s">
        <v>348</v>
      </c>
      <c r="F13" s="378"/>
    </row>
    <row r="14" spans="1:6" ht="15" customHeight="1" x14ac:dyDescent="0.25">
      <c r="A14" s="379" t="s">
        <v>366</v>
      </c>
      <c r="B14" s="379"/>
      <c r="C14" s="381" t="s">
        <v>387</v>
      </c>
      <c r="D14" s="382">
        <v>1916.52</v>
      </c>
      <c r="E14" s="383" t="s">
        <v>348</v>
      </c>
      <c r="F14" s="376"/>
    </row>
    <row r="15" spans="1:6" x14ac:dyDescent="0.25">
      <c r="A15" s="379" t="s">
        <v>367</v>
      </c>
      <c r="B15" s="379"/>
      <c r="C15" s="381" t="s">
        <v>434</v>
      </c>
      <c r="D15" s="382">
        <v>3227.6</v>
      </c>
      <c r="E15" s="383" t="s">
        <v>348</v>
      </c>
      <c r="F15" s="376"/>
    </row>
    <row r="16" spans="1:6" ht="10.15" customHeight="1" x14ac:dyDescent="0.25">
      <c r="A16" s="379"/>
      <c r="B16" s="379"/>
      <c r="C16" s="381"/>
      <c r="D16" s="393"/>
      <c r="E16" s="383"/>
      <c r="F16" s="376"/>
    </row>
    <row r="17" spans="1:6" ht="15" customHeight="1" x14ac:dyDescent="0.25">
      <c r="A17" s="469" t="s">
        <v>371</v>
      </c>
      <c r="B17" s="469"/>
      <c r="C17" s="469"/>
      <c r="D17" s="394">
        <f>SUM(D4:D16)/1000</f>
        <v>26.270340000000001</v>
      </c>
      <c r="E17" s="383" t="s">
        <v>18</v>
      </c>
      <c r="F17" s="376"/>
    </row>
    <row r="18" spans="1:6" x14ac:dyDescent="0.25">
      <c r="A18" s="474" t="s">
        <v>391</v>
      </c>
      <c r="B18" s="474"/>
      <c r="C18" s="474"/>
      <c r="D18" s="474"/>
      <c r="E18" s="474"/>
      <c r="F18" s="378"/>
    </row>
    <row r="19" spans="1:6" x14ac:dyDescent="0.25">
      <c r="A19" s="474" t="s">
        <v>436</v>
      </c>
      <c r="B19" s="474"/>
      <c r="C19" s="474"/>
      <c r="D19" s="395">
        <v>51.1</v>
      </c>
      <c r="E19" s="396" t="s">
        <v>18</v>
      </c>
      <c r="F19" s="378"/>
    </row>
    <row r="20" spans="1:6" x14ac:dyDescent="0.25">
      <c r="A20" s="474" t="s">
        <v>437</v>
      </c>
      <c r="B20" s="474"/>
      <c r="C20" s="474"/>
      <c r="D20" s="395">
        <v>51.9</v>
      </c>
      <c r="E20" s="396" t="s">
        <v>18</v>
      </c>
      <c r="F20" s="376"/>
    </row>
    <row r="21" spans="1:6" x14ac:dyDescent="0.25">
      <c r="A21" s="469" t="s">
        <v>392</v>
      </c>
      <c r="B21" s="469"/>
      <c r="C21" s="469"/>
      <c r="D21" s="397">
        <f>SUM(D19:D20)</f>
        <v>103</v>
      </c>
      <c r="E21" s="396" t="s">
        <v>18</v>
      </c>
      <c r="F21" s="376"/>
    </row>
    <row r="22" spans="1:6" x14ac:dyDescent="0.25">
      <c r="A22" s="466"/>
      <c r="B22" s="467"/>
      <c r="C22" s="467"/>
      <c r="D22" s="467"/>
      <c r="E22" s="468"/>
    </row>
    <row r="23" spans="1:6" x14ac:dyDescent="0.25">
      <c r="A23" s="469" t="s">
        <v>393</v>
      </c>
      <c r="B23" s="469"/>
      <c r="C23" s="469"/>
      <c r="D23" s="398">
        <f>D17+D21</f>
        <v>129.27034</v>
      </c>
      <c r="E23" s="396" t="s">
        <v>18</v>
      </c>
    </row>
    <row r="24" spans="1:6" x14ac:dyDescent="0.25">
      <c r="A24" s="470"/>
      <c r="B24" s="470"/>
      <c r="C24" s="470"/>
      <c r="D24" s="470"/>
      <c r="E24" s="470"/>
    </row>
    <row r="25" spans="1:6" x14ac:dyDescent="0.25">
      <c r="A25" s="492" t="s">
        <v>482</v>
      </c>
      <c r="B25" s="474"/>
      <c r="C25" s="474"/>
      <c r="D25" s="474"/>
      <c r="E25" s="474"/>
    </row>
    <row r="26" spans="1:6" ht="31.15" customHeight="1" x14ac:dyDescent="0.25">
      <c r="A26" s="493" t="s">
        <v>481</v>
      </c>
      <c r="B26" s="494"/>
      <c r="C26" s="494"/>
      <c r="D26" s="494"/>
      <c r="E26" s="495"/>
    </row>
    <row r="27" spans="1:6" x14ac:dyDescent="0.25">
      <c r="A27" s="379" t="s">
        <v>379</v>
      </c>
      <c r="B27" s="379" t="s">
        <v>346</v>
      </c>
      <c r="C27" s="379" t="s">
        <v>347</v>
      </c>
      <c r="D27" s="379" t="s">
        <v>344</v>
      </c>
      <c r="E27" s="379" t="s">
        <v>267</v>
      </c>
    </row>
    <row r="28" spans="1:6" x14ac:dyDescent="0.25">
      <c r="A28" s="379" t="s">
        <v>349</v>
      </c>
      <c r="B28" s="379"/>
      <c r="C28" s="381" t="s">
        <v>350</v>
      </c>
      <c r="D28" s="382">
        <v>954.03</v>
      </c>
      <c r="E28" s="383" t="s">
        <v>348</v>
      </c>
    </row>
    <row r="29" spans="1:6" x14ac:dyDescent="0.25">
      <c r="A29" s="379" t="s">
        <v>351</v>
      </c>
      <c r="B29" s="379"/>
      <c r="C29" s="381" t="s">
        <v>352</v>
      </c>
      <c r="D29" s="382">
        <v>2189.7600000000002</v>
      </c>
      <c r="E29" s="383" t="s">
        <v>348</v>
      </c>
    </row>
    <row r="30" spans="1:6" x14ac:dyDescent="0.25">
      <c r="A30" s="379" t="s">
        <v>353</v>
      </c>
      <c r="B30" s="379"/>
      <c r="C30" s="381" t="s">
        <v>354</v>
      </c>
      <c r="D30" s="382">
        <v>1436.63</v>
      </c>
      <c r="E30" s="383" t="s">
        <v>348</v>
      </c>
    </row>
    <row r="31" spans="1:6" x14ac:dyDescent="0.25">
      <c r="A31" s="379" t="s">
        <v>355</v>
      </c>
      <c r="B31" s="379"/>
      <c r="C31" s="381" t="s">
        <v>356</v>
      </c>
      <c r="D31" s="382">
        <v>1057.44</v>
      </c>
      <c r="E31" s="383" t="s">
        <v>348</v>
      </c>
    </row>
    <row r="32" spans="1:6" x14ac:dyDescent="0.25">
      <c r="A32" s="379" t="s">
        <v>357</v>
      </c>
      <c r="B32" s="379"/>
      <c r="C32" s="381" t="s">
        <v>358</v>
      </c>
      <c r="D32" s="382">
        <v>3399.32</v>
      </c>
      <c r="E32" s="383" t="s">
        <v>348</v>
      </c>
    </row>
    <row r="33" spans="1:5" x14ac:dyDescent="0.25">
      <c r="A33" s="379" t="s">
        <v>359</v>
      </c>
      <c r="B33" s="379"/>
      <c r="C33" s="381" t="s">
        <v>360</v>
      </c>
      <c r="D33" s="382">
        <v>1718.92</v>
      </c>
      <c r="E33" s="383" t="s">
        <v>348</v>
      </c>
    </row>
    <row r="34" spans="1:5" x14ac:dyDescent="0.25">
      <c r="A34" s="379" t="s">
        <v>361</v>
      </c>
      <c r="B34" s="379"/>
      <c r="C34" s="381" t="s">
        <v>362</v>
      </c>
      <c r="D34" s="382">
        <v>1827.87</v>
      </c>
      <c r="E34" s="383" t="s">
        <v>348</v>
      </c>
    </row>
    <row r="35" spans="1:5" x14ac:dyDescent="0.25">
      <c r="A35" s="379" t="s">
        <v>363</v>
      </c>
      <c r="B35" s="379"/>
      <c r="C35" s="381" t="s">
        <v>384</v>
      </c>
      <c r="D35" s="382">
        <v>1739.96</v>
      </c>
      <c r="E35" s="383" t="s">
        <v>348</v>
      </c>
    </row>
    <row r="36" spans="1:5" x14ac:dyDescent="0.25">
      <c r="A36" s="379" t="s">
        <v>364</v>
      </c>
      <c r="B36" s="379"/>
      <c r="C36" s="381" t="s">
        <v>385</v>
      </c>
      <c r="D36" s="382">
        <v>3935.27</v>
      </c>
      <c r="E36" s="383" t="s">
        <v>348</v>
      </c>
    </row>
    <row r="37" spans="1:5" x14ac:dyDescent="0.25">
      <c r="A37" s="379" t="s">
        <v>365</v>
      </c>
      <c r="B37" s="379"/>
      <c r="C37" s="381" t="s">
        <v>386</v>
      </c>
      <c r="D37" s="382">
        <v>2867.02</v>
      </c>
      <c r="E37" s="383" t="s">
        <v>348</v>
      </c>
    </row>
    <row r="38" spans="1:5" x14ac:dyDescent="0.25">
      <c r="A38" s="379" t="s">
        <v>366</v>
      </c>
      <c r="B38" s="379"/>
      <c r="C38" s="381" t="s">
        <v>387</v>
      </c>
      <c r="D38" s="382">
        <v>1916.52</v>
      </c>
      <c r="E38" s="383" t="s">
        <v>348</v>
      </c>
    </row>
    <row r="39" spans="1:5" x14ac:dyDescent="0.25">
      <c r="A39" s="379" t="s">
        <v>367</v>
      </c>
      <c r="B39" s="379"/>
      <c r="C39" s="381" t="s">
        <v>388</v>
      </c>
      <c r="D39" s="382">
        <v>3227.6</v>
      </c>
      <c r="E39" s="383" t="s">
        <v>348</v>
      </c>
    </row>
    <row r="40" spans="1:5" x14ac:dyDescent="0.25">
      <c r="A40" s="379" t="s">
        <v>368</v>
      </c>
      <c r="B40" s="379"/>
      <c r="C40" s="381" t="s">
        <v>389</v>
      </c>
      <c r="D40" s="382">
        <v>3032.09</v>
      </c>
      <c r="E40" s="383" t="s">
        <v>348</v>
      </c>
    </row>
    <row r="41" spans="1:5" x14ac:dyDescent="0.25">
      <c r="A41" s="379" t="s">
        <v>369</v>
      </c>
      <c r="B41" s="379"/>
      <c r="C41" s="381" t="s">
        <v>390</v>
      </c>
      <c r="D41" s="382">
        <v>6235.93</v>
      </c>
      <c r="E41" s="383" t="s">
        <v>348</v>
      </c>
    </row>
    <row r="42" spans="1:5" x14ac:dyDescent="0.25">
      <c r="A42" s="379" t="s">
        <v>370</v>
      </c>
      <c r="B42" s="379"/>
      <c r="C42" s="381" t="s">
        <v>435</v>
      </c>
      <c r="D42" s="382">
        <v>11200</v>
      </c>
      <c r="E42" s="383" t="s">
        <v>348</v>
      </c>
    </row>
    <row r="43" spans="1:5" x14ac:dyDescent="0.25">
      <c r="A43" s="469" t="s">
        <v>371</v>
      </c>
      <c r="B43" s="469"/>
      <c r="C43" s="469"/>
      <c r="D43" s="394">
        <f>SUM(D28:D42)/1000</f>
        <v>46.73836</v>
      </c>
      <c r="E43" s="383" t="s">
        <v>18</v>
      </c>
    </row>
    <row r="44" spans="1:5" x14ac:dyDescent="0.25">
      <c r="A44" s="474" t="s">
        <v>391</v>
      </c>
      <c r="B44" s="474"/>
      <c r="C44" s="474"/>
      <c r="D44" s="474"/>
      <c r="E44" s="474"/>
    </row>
    <row r="45" spans="1:5" x14ac:dyDescent="0.25">
      <c r="A45" s="474" t="s">
        <v>436</v>
      </c>
      <c r="B45" s="474"/>
      <c r="C45" s="474"/>
      <c r="D45" s="395">
        <v>51.1</v>
      </c>
      <c r="E45" s="396" t="s">
        <v>18</v>
      </c>
    </row>
    <row r="46" spans="1:5" x14ac:dyDescent="0.25">
      <c r="A46" s="474" t="s">
        <v>437</v>
      </c>
      <c r="B46" s="474"/>
      <c r="C46" s="474"/>
      <c r="D46" s="395">
        <v>52.6</v>
      </c>
      <c r="E46" s="396" t="s">
        <v>18</v>
      </c>
    </row>
    <row r="47" spans="1:5" x14ac:dyDescent="0.25">
      <c r="A47" s="469" t="s">
        <v>392</v>
      </c>
      <c r="B47" s="469"/>
      <c r="C47" s="469"/>
      <c r="D47" s="397">
        <f>SUM(D45:D46)</f>
        <v>103.7</v>
      </c>
      <c r="E47" s="396" t="s">
        <v>18</v>
      </c>
    </row>
    <row r="48" spans="1:5" x14ac:dyDescent="0.25">
      <c r="A48" s="469" t="s">
        <v>393</v>
      </c>
      <c r="B48" s="469"/>
      <c r="C48" s="469"/>
      <c r="D48" s="398">
        <f>D43+D47</f>
        <v>150.43835999999999</v>
      </c>
      <c r="E48" s="396" t="s">
        <v>18</v>
      </c>
    </row>
    <row r="49" spans="1:5" ht="15.75" thickBot="1" x14ac:dyDescent="0.3">
      <c r="A49" s="422"/>
      <c r="B49" s="422"/>
      <c r="C49" s="422"/>
      <c r="D49" s="423"/>
      <c r="E49" s="424"/>
    </row>
    <row r="50" spans="1:5" ht="15.75" thickBot="1" x14ac:dyDescent="0.3">
      <c r="A50" s="477" t="s">
        <v>462</v>
      </c>
      <c r="B50" s="478"/>
      <c r="C50" s="478"/>
      <c r="D50" s="478"/>
      <c r="E50" s="479"/>
    </row>
    <row r="51" spans="1:5" x14ac:dyDescent="0.25">
      <c r="A51" s="480" t="s">
        <v>377</v>
      </c>
      <c r="B51" s="482" t="s">
        <v>378</v>
      </c>
      <c r="C51" s="483"/>
      <c r="D51" s="490" t="s">
        <v>431</v>
      </c>
      <c r="E51" s="488" t="s">
        <v>345</v>
      </c>
    </row>
    <row r="52" spans="1:5" x14ac:dyDescent="0.25">
      <c r="A52" s="481"/>
      <c r="B52" s="484"/>
      <c r="C52" s="485"/>
      <c r="D52" s="487"/>
      <c r="E52" s="489"/>
    </row>
    <row r="53" spans="1:5" x14ac:dyDescent="0.25">
      <c r="A53" s="384" t="s">
        <v>432</v>
      </c>
      <c r="B53" s="385">
        <v>2</v>
      </c>
      <c r="C53" s="386" t="s">
        <v>380</v>
      </c>
      <c r="D53" s="387">
        <f>D23</f>
        <v>129.27034</v>
      </c>
      <c r="E53" s="388" t="s">
        <v>18</v>
      </c>
    </row>
    <row r="54" spans="1:5" x14ac:dyDescent="0.25">
      <c r="A54" s="475"/>
      <c r="B54" s="467"/>
      <c r="C54" s="467"/>
      <c r="D54" s="467"/>
      <c r="E54" s="476"/>
    </row>
    <row r="55" spans="1:5" x14ac:dyDescent="0.25">
      <c r="A55" s="384" t="s">
        <v>433</v>
      </c>
      <c r="B55" s="385">
        <v>1</v>
      </c>
      <c r="C55" s="386" t="s">
        <v>380</v>
      </c>
      <c r="D55" s="387">
        <f>D48</f>
        <v>150.43835999999999</v>
      </c>
      <c r="E55" s="388" t="s">
        <v>18</v>
      </c>
    </row>
    <row r="56" spans="1:5" x14ac:dyDescent="0.25">
      <c r="A56" s="471" t="s">
        <v>381</v>
      </c>
      <c r="B56" s="472"/>
      <c r="C56" s="473"/>
      <c r="D56" s="389">
        <f>(D53*B53)+(D55*B55)</f>
        <v>408.97904</v>
      </c>
      <c r="E56" s="390" t="s">
        <v>382</v>
      </c>
    </row>
    <row r="57" spans="1:5" ht="15.75" thickBot="1" x14ac:dyDescent="0.3">
      <c r="A57" s="463" t="s">
        <v>383</v>
      </c>
      <c r="B57" s="464"/>
      <c r="C57" s="465"/>
      <c r="D57" s="391">
        <f>((D56/7)*30)</f>
        <v>1752.7673142857143</v>
      </c>
      <c r="E57" s="392" t="s">
        <v>382</v>
      </c>
    </row>
    <row r="58" spans="1:5" x14ac:dyDescent="0.25">
      <c r="A58" s="422"/>
      <c r="B58" s="422"/>
      <c r="C58" s="422"/>
      <c r="D58" s="423"/>
      <c r="E58" s="424"/>
    </row>
    <row r="59" spans="1:5" x14ac:dyDescent="0.25">
      <c r="A59" s="496" t="s">
        <v>479</v>
      </c>
      <c r="B59" s="496"/>
      <c r="C59" s="496"/>
      <c r="D59" s="496"/>
      <c r="E59" s="496"/>
    </row>
    <row r="60" spans="1:5" x14ac:dyDescent="0.25">
      <c r="A60" s="496" t="s">
        <v>474</v>
      </c>
      <c r="B60" s="496"/>
      <c r="C60" s="496"/>
      <c r="D60" s="496"/>
      <c r="E60" s="496"/>
    </row>
    <row r="61" spans="1:5" x14ac:dyDescent="0.25">
      <c r="A61" s="363" t="s">
        <v>379</v>
      </c>
      <c r="B61" s="363" t="s">
        <v>346</v>
      </c>
      <c r="C61" s="363" t="s">
        <v>347</v>
      </c>
      <c r="D61" s="363" t="s">
        <v>344</v>
      </c>
      <c r="E61" s="363" t="s">
        <v>267</v>
      </c>
    </row>
    <row r="62" spans="1:5" x14ac:dyDescent="0.25">
      <c r="A62" s="363" t="s">
        <v>349</v>
      </c>
      <c r="B62" s="363"/>
      <c r="C62" s="412" t="s">
        <v>350</v>
      </c>
      <c r="D62" s="413">
        <v>18919.060000000001</v>
      </c>
      <c r="E62" s="364" t="s">
        <v>348</v>
      </c>
    </row>
    <row r="63" spans="1:5" x14ac:dyDescent="0.25">
      <c r="A63" s="363" t="s">
        <v>351</v>
      </c>
      <c r="B63" s="363"/>
      <c r="C63" s="412" t="s">
        <v>352</v>
      </c>
      <c r="D63" s="413">
        <v>11332.84</v>
      </c>
      <c r="E63" s="364" t="s">
        <v>348</v>
      </c>
    </row>
    <row r="64" spans="1:5" x14ac:dyDescent="0.25">
      <c r="A64" s="363" t="s">
        <v>353</v>
      </c>
      <c r="B64" s="363"/>
      <c r="C64" s="412" t="s">
        <v>354</v>
      </c>
      <c r="D64" s="413">
        <v>14907.59</v>
      </c>
      <c r="E64" s="364" t="s">
        <v>348</v>
      </c>
    </row>
    <row r="65" spans="1:5" x14ac:dyDescent="0.25">
      <c r="A65" s="363" t="s">
        <v>355</v>
      </c>
      <c r="B65" s="363"/>
      <c r="C65" s="412" t="s">
        <v>356</v>
      </c>
      <c r="D65" s="414">
        <v>10171.24</v>
      </c>
      <c r="E65" s="364" t="s">
        <v>348</v>
      </c>
    </row>
    <row r="66" spans="1:5" x14ac:dyDescent="0.25">
      <c r="A66" s="363" t="s">
        <v>357</v>
      </c>
      <c r="B66" s="363"/>
      <c r="C66" s="412" t="s">
        <v>358</v>
      </c>
      <c r="D66" s="414">
        <v>18107.64</v>
      </c>
      <c r="E66" s="364" t="s">
        <v>348</v>
      </c>
    </row>
    <row r="67" spans="1:5" x14ac:dyDescent="0.25">
      <c r="A67" s="363" t="s">
        <v>359</v>
      </c>
      <c r="B67" s="363"/>
      <c r="C67" s="412" t="s">
        <v>360</v>
      </c>
      <c r="D67" s="414">
        <v>16228.57</v>
      </c>
      <c r="E67" s="364" t="s">
        <v>348</v>
      </c>
    </row>
    <row r="68" spans="1:5" x14ac:dyDescent="0.25">
      <c r="A68" s="363" t="s">
        <v>361</v>
      </c>
      <c r="B68" s="363"/>
      <c r="C68" s="412" t="s">
        <v>362</v>
      </c>
      <c r="D68" s="414">
        <v>14908.81</v>
      </c>
      <c r="E68" s="364" t="s">
        <v>348</v>
      </c>
    </row>
    <row r="69" spans="1:5" x14ac:dyDescent="0.25">
      <c r="A69" s="363" t="s">
        <v>363</v>
      </c>
      <c r="B69" s="363"/>
      <c r="C69" s="412" t="s">
        <v>384</v>
      </c>
      <c r="D69" s="414">
        <v>15462.65</v>
      </c>
      <c r="E69" s="364" t="s">
        <v>348</v>
      </c>
    </row>
    <row r="70" spans="1:5" x14ac:dyDescent="0.25">
      <c r="A70" s="363" t="s">
        <v>364</v>
      </c>
      <c r="B70" s="363"/>
      <c r="C70" s="412" t="s">
        <v>385</v>
      </c>
      <c r="D70" s="414">
        <v>9869.51</v>
      </c>
      <c r="E70" s="364" t="s">
        <v>348</v>
      </c>
    </row>
    <row r="71" spans="1:5" x14ac:dyDescent="0.25">
      <c r="A71" s="363" t="s">
        <v>365</v>
      </c>
      <c r="B71" s="363"/>
      <c r="C71" s="412" t="s">
        <v>386</v>
      </c>
      <c r="D71" s="414">
        <v>15799.87</v>
      </c>
      <c r="E71" s="364" t="s">
        <v>348</v>
      </c>
    </row>
    <row r="72" spans="1:5" x14ac:dyDescent="0.25">
      <c r="A72" s="363" t="s">
        <v>366</v>
      </c>
      <c r="B72" s="363"/>
      <c r="C72" s="412" t="s">
        <v>387</v>
      </c>
      <c r="D72" s="414">
        <v>15141.44</v>
      </c>
      <c r="E72" s="364" t="s">
        <v>348</v>
      </c>
    </row>
    <row r="73" spans="1:5" x14ac:dyDescent="0.25">
      <c r="A73" s="363" t="s">
        <v>367</v>
      </c>
      <c r="B73" s="363"/>
      <c r="C73" s="412" t="s">
        <v>434</v>
      </c>
      <c r="D73" s="414">
        <v>10144.33</v>
      </c>
      <c r="E73" s="364" t="s">
        <v>348</v>
      </c>
    </row>
    <row r="74" spans="1:5" x14ac:dyDescent="0.25">
      <c r="A74" s="363"/>
      <c r="B74" s="363"/>
      <c r="C74" s="412"/>
      <c r="D74" s="414"/>
      <c r="E74" s="364"/>
    </row>
    <row r="75" spans="1:5" x14ac:dyDescent="0.25">
      <c r="A75" s="497" t="s">
        <v>371</v>
      </c>
      <c r="B75" s="497"/>
      <c r="C75" s="497"/>
      <c r="D75" s="415">
        <f>SUM(D62:D74)/1000</f>
        <v>170.99355</v>
      </c>
      <c r="E75" s="364" t="s">
        <v>18</v>
      </c>
    </row>
    <row r="76" spans="1:5" x14ac:dyDescent="0.25">
      <c r="A76" s="496" t="s">
        <v>476</v>
      </c>
      <c r="B76" s="496"/>
      <c r="C76" s="496"/>
      <c r="D76" s="496"/>
      <c r="E76" s="496"/>
    </row>
    <row r="77" spans="1:5" x14ac:dyDescent="0.25">
      <c r="A77" s="496" t="s">
        <v>477</v>
      </c>
      <c r="B77" s="496"/>
      <c r="C77" s="496"/>
      <c r="D77" s="416">
        <v>49.4</v>
      </c>
      <c r="E77" s="417" t="s">
        <v>18</v>
      </c>
    </row>
    <row r="78" spans="1:5" x14ac:dyDescent="0.25">
      <c r="A78" s="496" t="s">
        <v>478</v>
      </c>
      <c r="B78" s="496"/>
      <c r="C78" s="496"/>
      <c r="D78" s="416">
        <v>47.3</v>
      </c>
      <c r="E78" s="417" t="s">
        <v>18</v>
      </c>
    </row>
    <row r="79" spans="1:5" x14ac:dyDescent="0.25">
      <c r="A79" s="497" t="s">
        <v>392</v>
      </c>
      <c r="B79" s="497"/>
      <c r="C79" s="497"/>
      <c r="D79" s="418">
        <f>SUM(D77:D78)</f>
        <v>96.699999999999989</v>
      </c>
      <c r="E79" s="417" t="s">
        <v>18</v>
      </c>
    </row>
    <row r="80" spans="1:5" x14ac:dyDescent="0.25">
      <c r="A80" s="498"/>
      <c r="B80" s="499"/>
      <c r="C80" s="499"/>
      <c r="D80" s="499"/>
      <c r="E80" s="500"/>
    </row>
    <row r="81" spans="1:5" x14ac:dyDescent="0.25">
      <c r="A81" s="497" t="s">
        <v>393</v>
      </c>
      <c r="B81" s="497"/>
      <c r="C81" s="497"/>
      <c r="D81" s="419">
        <f>D75+D79</f>
        <v>267.69354999999996</v>
      </c>
      <c r="E81" s="417" t="s">
        <v>18</v>
      </c>
    </row>
    <row r="82" spans="1:5" ht="15.75" thickBot="1" x14ac:dyDescent="0.3"/>
    <row r="83" spans="1:5" ht="15.75" thickBot="1" x14ac:dyDescent="0.3">
      <c r="A83" s="477" t="s">
        <v>463</v>
      </c>
      <c r="B83" s="478"/>
      <c r="C83" s="478"/>
      <c r="D83" s="478"/>
      <c r="E83" s="479"/>
    </row>
    <row r="84" spans="1:5" x14ac:dyDescent="0.25">
      <c r="A84" s="480" t="s">
        <v>377</v>
      </c>
      <c r="B84" s="482" t="s">
        <v>378</v>
      </c>
      <c r="C84" s="483"/>
      <c r="D84" s="486" t="s">
        <v>475</v>
      </c>
      <c r="E84" s="488" t="s">
        <v>345</v>
      </c>
    </row>
    <row r="85" spans="1:5" x14ac:dyDescent="0.25">
      <c r="A85" s="481"/>
      <c r="B85" s="484"/>
      <c r="C85" s="485"/>
      <c r="D85" s="487"/>
      <c r="E85" s="489"/>
    </row>
    <row r="86" spans="1:5" x14ac:dyDescent="0.25">
      <c r="A86" s="421" t="s">
        <v>480</v>
      </c>
      <c r="B86" s="385">
        <v>0.25</v>
      </c>
      <c r="C86" s="386" t="s">
        <v>380</v>
      </c>
      <c r="D86" s="387">
        <f>D81</f>
        <v>267.69354999999996</v>
      </c>
      <c r="E86" s="388" t="s">
        <v>18</v>
      </c>
    </row>
    <row r="87" spans="1:5" x14ac:dyDescent="0.25">
      <c r="A87" s="475"/>
      <c r="B87" s="467"/>
      <c r="C87" s="467"/>
      <c r="D87" s="467"/>
      <c r="E87" s="476"/>
    </row>
    <row r="88" spans="1:5" x14ac:dyDescent="0.25">
      <c r="A88" s="402" t="s">
        <v>464</v>
      </c>
      <c r="B88" s="385">
        <v>1</v>
      </c>
      <c r="C88" s="386" t="s">
        <v>380</v>
      </c>
      <c r="D88" s="387">
        <f>D48</f>
        <v>150.43835999999999</v>
      </c>
      <c r="E88" s="388" t="s">
        <v>18</v>
      </c>
    </row>
    <row r="89" spans="1:5" x14ac:dyDescent="0.25">
      <c r="A89" s="471" t="s">
        <v>381</v>
      </c>
      <c r="B89" s="472"/>
      <c r="C89" s="473"/>
      <c r="D89" s="389">
        <f>(D88*B88)</f>
        <v>150.43835999999999</v>
      </c>
      <c r="E89" s="390" t="s">
        <v>382</v>
      </c>
    </row>
    <row r="90" spans="1:5" ht="15.75" thickBot="1" x14ac:dyDescent="0.3">
      <c r="A90" s="463" t="s">
        <v>383</v>
      </c>
      <c r="B90" s="464"/>
      <c r="C90" s="465"/>
      <c r="D90" s="391">
        <f>((D89/7)*30)+D86</f>
        <v>912.4293785714284</v>
      </c>
      <c r="E90" s="392" t="s">
        <v>382</v>
      </c>
    </row>
  </sheetData>
  <mergeCells count="43">
    <mergeCell ref="A78:C78"/>
    <mergeCell ref="A79:C79"/>
    <mergeCell ref="A80:E80"/>
    <mergeCell ref="A81:C81"/>
    <mergeCell ref="A59:E59"/>
    <mergeCell ref="A60:E60"/>
    <mergeCell ref="A75:C75"/>
    <mergeCell ref="A76:E76"/>
    <mergeCell ref="A77:C77"/>
    <mergeCell ref="A1:E1"/>
    <mergeCell ref="A25:E25"/>
    <mergeCell ref="A50:E50"/>
    <mergeCell ref="A2:E2"/>
    <mergeCell ref="A26:E26"/>
    <mergeCell ref="A17:C17"/>
    <mergeCell ref="A18:E18"/>
    <mergeCell ref="A44:E44"/>
    <mergeCell ref="A19:C19"/>
    <mergeCell ref="A20:C20"/>
    <mergeCell ref="A21:C21"/>
    <mergeCell ref="A43:C43"/>
    <mergeCell ref="E51:E52"/>
    <mergeCell ref="A54:E54"/>
    <mergeCell ref="A56:C56"/>
    <mergeCell ref="A51:A52"/>
    <mergeCell ref="B51:C52"/>
    <mergeCell ref="D51:D52"/>
    <mergeCell ref="A90:C90"/>
    <mergeCell ref="A22:E22"/>
    <mergeCell ref="A23:C23"/>
    <mergeCell ref="A48:C48"/>
    <mergeCell ref="A24:E24"/>
    <mergeCell ref="A57:C57"/>
    <mergeCell ref="A89:C89"/>
    <mergeCell ref="A46:C46"/>
    <mergeCell ref="A47:C47"/>
    <mergeCell ref="A87:E87"/>
    <mergeCell ref="A45:C45"/>
    <mergeCell ref="A83:E83"/>
    <mergeCell ref="A84:A85"/>
    <mergeCell ref="B84:C85"/>
    <mergeCell ref="D84:D85"/>
    <mergeCell ref="E84:E85"/>
  </mergeCells>
  <pageMargins left="0.51181102362204722" right="0.51181102362204722" top="0.78740157480314965" bottom="0.78740157480314965" header="0.31496062992125984" footer="0.31496062992125984"/>
  <pageSetup paperSize="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7</vt:i4>
      </vt:variant>
    </vt:vector>
  </HeadingPairs>
  <TitlesOfParts>
    <vt:vector size="19" baseType="lpstr">
      <vt:lpstr>1. Coleta Domiciliar</vt:lpstr>
      <vt:lpstr>2. Coleta Seletiva</vt:lpstr>
      <vt:lpstr>Resumo</vt:lpstr>
      <vt:lpstr>3.Encargos Sociais</vt:lpstr>
      <vt:lpstr>4.CAGED</vt:lpstr>
      <vt:lpstr>5.BDI</vt:lpstr>
      <vt:lpstr>Ton</vt:lpstr>
      <vt:lpstr>Horários</vt:lpstr>
      <vt:lpstr>Roteiros </vt:lpstr>
      <vt:lpstr>6. Depreciação</vt:lpstr>
      <vt:lpstr>7.Remuneração de capital</vt:lpstr>
      <vt:lpstr>8. Dimensionamento</vt:lpstr>
      <vt:lpstr>AbaDeprec</vt:lpstr>
      <vt:lpstr>AbaRemun</vt:lpstr>
      <vt:lpstr>'1. Coleta Domiciliar'!Area_de_impressao</vt:lpstr>
      <vt:lpstr>'2. Coleta Seletiva'!Area_de_impressao</vt:lpstr>
      <vt:lpstr>'3.Encargos Sociais'!Area_de_impressao</vt:lpstr>
      <vt:lpstr>'1. Coleta Domiciliar'!Titulos_de_impressao</vt:lpstr>
      <vt:lpstr>'2. Coleta Seletiva'!Titulos_de_impressao</vt:lpstr>
    </vt:vector>
  </TitlesOfParts>
  <Company>dmlu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Custos Coleta e Transporte RSU</dc:title>
  <dc:creator>Flavia Burmeister Martins</dc:creator>
  <cp:lastModifiedBy>LICITACOES</cp:lastModifiedBy>
  <cp:lastPrinted>2019-10-22T16:43:26Z</cp:lastPrinted>
  <dcterms:created xsi:type="dcterms:W3CDTF">2000-12-13T10:02:50Z</dcterms:created>
  <dcterms:modified xsi:type="dcterms:W3CDTF">2019-11-04T14:46:27Z</dcterms:modified>
</cp:coreProperties>
</file>